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8475" windowHeight="11505" tabRatio="935" activeTab="1"/>
  </bookViews>
  <sheets>
    <sheet name="Cover page" sheetId="1" r:id="rId1"/>
    <sheet name="LB (PB1)" sheetId="4" r:id="rId2"/>
    <sheet name="PB2" sheetId="5" r:id="rId3"/>
    <sheet name="PB3" sheetId="6" r:id="rId4"/>
    <sheet name="PB4" sheetId="7" r:id="rId5"/>
    <sheet name="PB5" sheetId="8" r:id="rId6"/>
    <sheet name="PB6" sheetId="9" r:id="rId7"/>
    <sheet name="PB7" sheetId="10" r:id="rId8"/>
    <sheet name="PB8" sheetId="11" r:id="rId9"/>
    <sheet name="PB9" sheetId="12" r:id="rId10"/>
    <sheet name="PB10" sheetId="13" r:id="rId11"/>
    <sheet name="AF-Tables" sheetId="16" r:id="rId12"/>
    <sheet name="Project Overview" sheetId="14" r:id="rId13"/>
    <sheet name="Budget Check" sheetId="17" state="hidden" r:id="rId14"/>
    <sheet name="Ranges" sheetId="3" state="hidden" r:id="rId15"/>
  </sheets>
  <definedNames>
    <definedName name="_xlnm._FilterDatabase" localSheetId="1" hidden="1">'LB (PB1)'!$A$2:$J$209</definedName>
    <definedName name="_xlnm._FilterDatabase" localSheetId="10" hidden="1">'PB10'!$A$2:$I$2</definedName>
    <definedName name="_xlnm._FilterDatabase" localSheetId="2" hidden="1">'PB2'!$A$2:$I$209</definedName>
    <definedName name="_xlnm._FilterDatabase" localSheetId="3" hidden="1">'PB3'!$A$2:$I$201</definedName>
    <definedName name="_xlnm._FilterDatabase" localSheetId="4" hidden="1">'PB4'!$A$2:$I$2</definedName>
    <definedName name="_xlnm._FilterDatabase" localSheetId="5" hidden="1">'PB5'!$A$2:$I$2</definedName>
    <definedName name="_xlnm._FilterDatabase" localSheetId="6" hidden="1">'PB6'!$A$2:$I$2</definedName>
    <definedName name="_xlnm._FilterDatabase" localSheetId="7" hidden="1">'PB7'!$A$2:$I$2</definedName>
    <definedName name="_xlnm._FilterDatabase" localSheetId="8" hidden="1">'PB8'!$A$2:$I$2</definedName>
    <definedName name="_xlnm._FilterDatabase" localSheetId="9" hidden="1">'PB9'!$A$2:$I$2</definedName>
    <definedName name="Budgetline">Ranges!$C$3:$C$8</definedName>
    <definedName name="CallB1">Ranges!$Q$38:$Q$40</definedName>
    <definedName name="CallB2">Ranges!$K$41</definedName>
    <definedName name="Country">Ranges!$A$3:$A$4</definedName>
    <definedName name="Equipment">Ranges!$A$46:$A$53</definedName>
    <definedName name="Expertise_Services">Ranges!$A$35:$A$42</definedName>
    <definedName name="Flat">Ranges!$S$11</definedName>
    <definedName name="Infrastructure">Ranges!$A$57:$A$60</definedName>
    <definedName name="Inv.Priority">Ranges!$E$48:$E$55</definedName>
    <definedName name="Office_Administration">Ranges!$A$22:$A$26</definedName>
    <definedName name="P10WP1">Ranges!$L$31:$L$35</definedName>
    <definedName name="P10WP2">Ranges!$M$31:$M$35</definedName>
    <definedName name="P10WP3">Ranges!$N$31:$N$35</definedName>
    <definedName name="P10WP4">Ranges!$O$31:$O$35</definedName>
    <definedName name="P10WP5">Ranges!$P$31:$P$35</definedName>
    <definedName name="P10WP6">Ranges!$Q$31:$Q$35</definedName>
    <definedName name="P1WP1">Ranges!$E$3:$E$7</definedName>
    <definedName name="P1WP2">Ranges!$F$3:$F$7</definedName>
    <definedName name="P1WP3">Ranges!$G$3:$G$7</definedName>
    <definedName name="P1WP4">Ranges!$H$3:$H$7</definedName>
    <definedName name="P1WP5">Ranges!$I$3:$I$7</definedName>
    <definedName name="P1WP6">Ranges!$J$3:$J$7</definedName>
    <definedName name="P2WP1">Ranges!$E$10:$E$14</definedName>
    <definedName name="P2WP2">Ranges!$F$10:$F$14</definedName>
    <definedName name="P2WP3">Ranges!$G$10:$G$14</definedName>
    <definedName name="P2WP4">Ranges!$H$10:$H$14</definedName>
    <definedName name="P2WP5">Ranges!$I$10:$I$14</definedName>
    <definedName name="P2WP6">Ranges!$J$10:$J$14</definedName>
    <definedName name="P3WP1">Ranges!$E$17:$E$21</definedName>
    <definedName name="P3WP2">Ranges!$F$17:$F$21</definedName>
    <definedName name="P3WP3">Ranges!$G$17:$G$21</definedName>
    <definedName name="P3WP4">Ranges!$H$17:$H$21</definedName>
    <definedName name="P3WP5">Ranges!$I$17:$I$21</definedName>
    <definedName name="P3WP6">Ranges!$J$17:$J$21</definedName>
    <definedName name="P4WP1">Ranges!$E$24:$E$28</definedName>
    <definedName name="P4WP2">Ranges!$F$24:$F$28</definedName>
    <definedName name="P4WP3">Ranges!$G$24:$G$28</definedName>
    <definedName name="P4WP4">Ranges!$H$24:$H$28</definedName>
    <definedName name="P4WP5">Ranges!$I$24:$I$28</definedName>
    <definedName name="P4WP6">Ranges!$J$24:$J$28</definedName>
    <definedName name="P5WP1">Ranges!$E$31:$E$35</definedName>
    <definedName name="P5WP2">Ranges!$F$31:$F$35</definedName>
    <definedName name="P5WP3">Ranges!$G$31:$G$35</definedName>
    <definedName name="P5WP4">Ranges!$H$31:$H$35</definedName>
    <definedName name="P5WP5">Ranges!$I$31:$I$35</definedName>
    <definedName name="P5WP6">Ranges!$J$31:$J$35</definedName>
    <definedName name="P6WP1">Ranges!$L$3:$L$7</definedName>
    <definedName name="P6WP2">Ranges!$M$3:$M$7</definedName>
    <definedName name="P6WP3">Ranges!$N$3:$N$7</definedName>
    <definedName name="P6WP4">Ranges!$O$3:$O$7</definedName>
    <definedName name="P6WP5">Ranges!$P$3:$P$7</definedName>
    <definedName name="P6WP6">Ranges!$Q$3:$Q$7</definedName>
    <definedName name="P7WP1">Ranges!$L$10:$L$14</definedName>
    <definedName name="P7WP2">Ranges!$M$10:$M$14</definedName>
    <definedName name="P7WP3">Ranges!$N$10:$N$14</definedName>
    <definedName name="P7WP4">Ranges!$O$10:$O$14</definedName>
    <definedName name="P7WP5">Ranges!$P$10:$P$14</definedName>
    <definedName name="P7WP6">Ranges!$Q$10:$Q$14</definedName>
    <definedName name="P8WP1">Ranges!$L$17:$L$21</definedName>
    <definedName name="P8WP2">Ranges!$M$17:$M$21</definedName>
    <definedName name="P8WP3">Ranges!$N$17:$N$21</definedName>
    <definedName name="P8WP4">Ranges!$O$17:$O$21</definedName>
    <definedName name="P8WP5">Ranges!$P$17:$P$21</definedName>
    <definedName name="P8WP6">Ranges!$Q$17:$Q$21</definedName>
    <definedName name="P9WP1">Ranges!$L$24:$L$28</definedName>
    <definedName name="P9WP2">Ranges!$M$24:$M$28</definedName>
    <definedName name="P9WP3">Ranges!$N$24:$N$28</definedName>
    <definedName name="P9WP4">Ranges!$O$24:$O$28</definedName>
    <definedName name="P9WP5">Ranges!$P$24:$P$28</definedName>
    <definedName name="P9WP6">Ranges!$Q$24:$Q$28</definedName>
    <definedName name="Partner">Ranges!$B$3:$B$12</definedName>
    <definedName name="Pr.Axis">Ranges!$K$39:$K$42</definedName>
    <definedName name="Pr.Axis1">Ranges!$D$48:$D$49</definedName>
    <definedName name="Pr.Axis2">Ranges!$D$50:$D$52</definedName>
    <definedName name="Pr.Axis2a">Ranges!$D$50:$D$52</definedName>
    <definedName name="Pr.Axis3">Ranges!$D$53:$D$54</definedName>
    <definedName name="Pr.Axis4">Ranges!$D$55</definedName>
    <definedName name="_xlnm.Print_Area" localSheetId="13">'Budget Check'!$A$1:$O$28</definedName>
    <definedName name="_xlnm.Print_Area" localSheetId="0">'Cover page'!$A$1:$K$42</definedName>
    <definedName name="_xlnm.Print_Area" localSheetId="1">'LB (PB1)'!$A$1:$I$201</definedName>
    <definedName name="_xlnm.Print_Area" localSheetId="10">'PB10'!$A$1:$I$201</definedName>
    <definedName name="_xlnm.Print_Area" localSheetId="2">'PB2'!$A$1:$J$201</definedName>
    <definedName name="_xlnm.Print_Area" localSheetId="3">'PB3'!$A$1:$I$201</definedName>
    <definedName name="_xlnm.Print_Area" localSheetId="4">'PB4'!$A$1:$I$201</definedName>
    <definedName name="_xlnm.Print_Area" localSheetId="5">'PB5'!$A$1:$I$201</definedName>
    <definedName name="_xlnm.Print_Area" localSheetId="6">'PB6'!$A$1:$I$201</definedName>
    <definedName name="_xlnm.Print_Area" localSheetId="7">'PB7'!$A$1:$I$201</definedName>
    <definedName name="_xlnm.Print_Area" localSheetId="8">'PB8'!$A$1:$I$201</definedName>
    <definedName name="_xlnm.Print_Area" localSheetId="9">'PB9'!$A$1:$I$201</definedName>
    <definedName name="_xlnm.Print_Area" localSheetId="12">'Project Overview'!$A$1:$J$48</definedName>
    <definedName name="_xlnm.Print_Titles" localSheetId="1">'LB (PB1)'!$1:$2</definedName>
    <definedName name="_xlnm.Print_Titles" localSheetId="10">'PB10'!$1:$2</definedName>
    <definedName name="_xlnm.Print_Titles" localSheetId="2">'PB2'!$1:$2</definedName>
    <definedName name="_xlnm.Print_Titles" localSheetId="3">'PB3'!$1:$2</definedName>
    <definedName name="_xlnm.Print_Titles" localSheetId="4">'PB4'!$1:$2</definedName>
    <definedName name="_xlnm.Print_Titles" localSheetId="5">'PB5'!$1:$2</definedName>
    <definedName name="_xlnm.Print_Titles" localSheetId="6">'PB6'!$1:$2</definedName>
    <definedName name="_xlnm.Print_Titles" localSheetId="7">'PB7'!$1:$2</definedName>
    <definedName name="_xlnm.Print_Titles" localSheetId="8">'PB8'!$1:$2</definedName>
    <definedName name="_xlnm.Print_Titles" localSheetId="9">'PB9'!$1:$2</definedName>
    <definedName name="RealCosts">Ranges!$A$15:$A$19</definedName>
    <definedName name="Staff_Costs">Ranges!$A$15:$A$19</definedName>
    <definedName name="Travel_Accommodation">Ranges!$A$29:$A$31</definedName>
    <definedName name="WPs">Ranges!$D$3:$D$8</definedName>
  </definedNames>
  <calcPr calcId="124519"/>
</workbook>
</file>

<file path=xl/calcChain.xml><?xml version="1.0" encoding="utf-8"?>
<calcChain xmlns="http://schemas.openxmlformats.org/spreadsheetml/2006/main">
  <c r="G23" i="17"/>
  <c r="G22"/>
  <c r="G21"/>
  <c r="G20"/>
  <c r="G19"/>
  <c r="G18"/>
  <c r="G17"/>
  <c r="G16"/>
  <c r="G15"/>
  <c r="G14"/>
  <c r="D1"/>
  <c r="K8"/>
  <c r="M201" i="13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"/>
  <c r="N201"/>
  <c r="M201" i="12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"/>
  <c r="N201" s="1"/>
  <c r="M201" i="1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"/>
  <c r="N201"/>
  <c r="M201" i="10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"/>
  <c r="N201" s="1"/>
  <c r="M201" i="9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"/>
  <c r="N201"/>
  <c r="M201" i="8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"/>
  <c r="N201" s="1"/>
  <c r="M201" i="7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"/>
  <c r="N201"/>
  <c r="M201" i="6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"/>
  <c r="M201" i="5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"/>
  <c r="M1" i="4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3"/>
  <c r="E18" i="1"/>
  <c r="J5" i="17"/>
  <c r="N6" s="1"/>
  <c r="F27"/>
  <c r="J3"/>
  <c r="J2"/>
  <c r="J4"/>
  <c r="L17" i="1"/>
  <c r="N39" i="3"/>
  <c r="L201" i="13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M203" s="1"/>
  <c r="L201" i="12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M207" s="1"/>
  <c r="L201" i="1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01" i="10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01" i="9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M208" s="1"/>
  <c r="L3"/>
  <c r="L201" i="8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M208" s="1"/>
  <c r="L3"/>
  <c r="L201" i="7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M208" s="1"/>
  <c r="L201" i="6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M208"/>
  <c r="L201" i="5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4" i="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3"/>
  <c r="K3"/>
  <c r="J3"/>
  <c r="I201" i="13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01" i="12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01" i="1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G19" i="14"/>
  <c r="I4" i="11"/>
  <c r="I3"/>
  <c r="I201" i="10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1"/>
  <c r="I3"/>
  <c r="I201" i="9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01" i="8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16" i="14"/>
  <c r="I3" i="8"/>
  <c r="I201" i="7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01" i="6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34" i="14"/>
  <c r="I3" i="6"/>
  <c r="I201" i="5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G33" i="14"/>
  <c r="I4" i="4"/>
  <c r="E32" i="14"/>
  <c r="I5" i="4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4" i="6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4" i="9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4" i="10"/>
  <c r="K5"/>
  <c r="K6"/>
  <c r="N20" i="17" s="1"/>
  <c r="K7" i="10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4" i="1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4" i="13"/>
  <c r="N23" i="17" s="1"/>
  <c r="K5" i="13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3"/>
  <c r="K3" i="12"/>
  <c r="K3" i="11"/>
  <c r="K3" i="10"/>
  <c r="K3" i="9"/>
  <c r="N19" i="17" s="1"/>
  <c r="K3" i="8"/>
  <c r="K3" i="7"/>
  <c r="K3" i="6"/>
  <c r="K3" i="5"/>
  <c r="C33" i="14"/>
  <c r="C34"/>
  <c r="C35"/>
  <c r="C36"/>
  <c r="C37"/>
  <c r="C38"/>
  <c r="C39"/>
  <c r="C40"/>
  <c r="C41"/>
  <c r="C32"/>
  <c r="C21"/>
  <c r="C20"/>
  <c r="C19"/>
  <c r="C18"/>
  <c r="C17"/>
  <c r="C16"/>
  <c r="C15"/>
  <c r="C14"/>
  <c r="C13"/>
  <c r="C12"/>
  <c r="H41"/>
  <c r="G41"/>
  <c r="E41"/>
  <c r="I40"/>
  <c r="H40"/>
  <c r="F40"/>
  <c r="E40"/>
  <c r="I39"/>
  <c r="H39"/>
  <c r="G39"/>
  <c r="F39"/>
  <c r="E39"/>
  <c r="H38"/>
  <c r="F38"/>
  <c r="E38"/>
  <c r="D38"/>
  <c r="I37"/>
  <c r="H37"/>
  <c r="G37"/>
  <c r="F37"/>
  <c r="E37"/>
  <c r="D37"/>
  <c r="I36"/>
  <c r="G36"/>
  <c r="F36"/>
  <c r="E36"/>
  <c r="D36"/>
  <c r="I35"/>
  <c r="H35"/>
  <c r="G35"/>
  <c r="E35"/>
  <c r="I33"/>
  <c r="H33"/>
  <c r="F33"/>
  <c r="E33"/>
  <c r="D33"/>
  <c r="I21"/>
  <c r="I19"/>
  <c r="I18"/>
  <c r="I17"/>
  <c r="I16"/>
  <c r="I15"/>
  <c r="I13"/>
  <c r="H21"/>
  <c r="H19"/>
  <c r="H18"/>
  <c r="H17"/>
  <c r="H15"/>
  <c r="H13"/>
  <c r="G20"/>
  <c r="G17"/>
  <c r="G16"/>
  <c r="G13"/>
  <c r="F19"/>
  <c r="F18"/>
  <c r="F17"/>
  <c r="F16"/>
  <c r="F13"/>
  <c r="E20"/>
  <c r="L22" i="17" s="1"/>
  <c r="E19" i="14"/>
  <c r="L21" i="17"/>
  <c r="E18" i="14"/>
  <c r="L20" i="17" s="1"/>
  <c r="E17" i="14"/>
  <c r="L19" i="17"/>
  <c r="E16" i="14"/>
  <c r="L18" i="17" s="1"/>
  <c r="E13" i="14"/>
  <c r="L15" i="17"/>
  <c r="D21" i="14"/>
  <c r="E23" i="17" s="1"/>
  <c r="D20" i="14"/>
  <c r="E22" i="17"/>
  <c r="D19" i="14"/>
  <c r="E21" i="17" s="1"/>
  <c r="D17" i="14"/>
  <c r="E19" i="17" s="1"/>
  <c r="D16" i="14"/>
  <c r="E18" i="17" s="1"/>
  <c r="A242" i="16"/>
  <c r="A282"/>
  <c r="A322"/>
  <c r="A362"/>
  <c r="A202"/>
  <c r="A162"/>
  <c r="A122"/>
  <c r="A82"/>
  <c r="A42"/>
  <c r="A2"/>
  <c r="F1" i="13"/>
  <c r="E1"/>
  <c r="F1" i="12"/>
  <c r="E1"/>
  <c r="F1" i="11"/>
  <c r="E1"/>
  <c r="F1" i="10"/>
  <c r="E1"/>
  <c r="F1" i="9"/>
  <c r="E1"/>
  <c r="F1" i="8"/>
  <c r="E1"/>
  <c r="F1" i="7"/>
  <c r="E1"/>
  <c r="F1" i="6"/>
  <c r="E1"/>
  <c r="F1" i="5"/>
  <c r="E1"/>
  <c r="E1" i="4"/>
  <c r="F1"/>
  <c r="J201" i="13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01" i="12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324" i="16" s="1"/>
  <c r="J201" i="1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01" i="10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P257" i="16" s="1"/>
  <c r="J3" i="10"/>
  <c r="J201" i="9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05" i="16" s="1"/>
  <c r="V205" s="1"/>
  <c r="J4" i="9"/>
  <c r="J3"/>
  <c r="J201" i="8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S165" i="16" s="1"/>
  <c r="S163" s="1"/>
  <c r="S199" s="1"/>
  <c r="J4" i="8"/>
  <c r="J3"/>
  <c r="J201" i="7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01" i="6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01" i="5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5" i="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4"/>
  <c r="I41" i="14"/>
  <c r="F41"/>
  <c r="D41"/>
  <c r="D40"/>
  <c r="G40"/>
  <c r="G38"/>
  <c r="D15"/>
  <c r="E17" i="17"/>
  <c r="F35" i="14"/>
  <c r="I14"/>
  <c r="G34"/>
  <c r="F34"/>
  <c r="E34"/>
  <c r="D34"/>
  <c r="I34"/>
  <c r="I1" i="13"/>
  <c r="M206"/>
  <c r="C23" i="17" s="1"/>
  <c r="J23" s="1"/>
  <c r="S269" i="16"/>
  <c r="G269"/>
  <c r="M253"/>
  <c r="S252"/>
  <c r="M248"/>
  <c r="S247"/>
  <c r="S245"/>
  <c r="G245"/>
  <c r="I1" i="9"/>
  <c r="G219" i="16"/>
  <c r="J228"/>
  <c r="D208"/>
  <c r="M226"/>
  <c r="D217"/>
  <c r="P210"/>
  <c r="S205"/>
  <c r="D238"/>
  <c r="J235"/>
  <c r="P231"/>
  <c r="D229"/>
  <c r="J225"/>
  <c r="P222"/>
  <c r="M218"/>
  <c r="S214"/>
  <c r="G212"/>
  <c r="P208"/>
  <c r="J207"/>
  <c r="D206"/>
  <c r="S237"/>
  <c r="G235"/>
  <c r="M231"/>
  <c r="G225"/>
  <c r="M222"/>
  <c r="J218"/>
  <c r="D212"/>
  <c r="M208"/>
  <c r="M204"/>
  <c r="G237"/>
  <c r="S235"/>
  <c r="M234"/>
  <c r="S230"/>
  <c r="M229"/>
  <c r="G228"/>
  <c r="S225"/>
  <c r="M224"/>
  <c r="G223"/>
  <c r="J220"/>
  <c r="D219"/>
  <c r="P217"/>
  <c r="J216"/>
  <c r="D214"/>
  <c r="P212"/>
  <c r="J211"/>
  <c r="D210"/>
  <c r="S207"/>
  <c r="M206"/>
  <c r="D222"/>
  <c r="J238"/>
  <c r="P237"/>
  <c r="D237"/>
  <c r="J236"/>
  <c r="P235"/>
  <c r="D235"/>
  <c r="J234"/>
  <c r="P232"/>
  <c r="D232"/>
  <c r="J231"/>
  <c r="P230"/>
  <c r="D230"/>
  <c r="J229"/>
  <c r="P228"/>
  <c r="D228"/>
  <c r="J226"/>
  <c r="P225"/>
  <c r="D225"/>
  <c r="J224"/>
  <c r="P223"/>
  <c r="D223"/>
  <c r="J222"/>
  <c r="S220"/>
  <c r="G220"/>
  <c r="M219"/>
  <c r="S218"/>
  <c r="G218"/>
  <c r="M217"/>
  <c r="S216"/>
  <c r="G216"/>
  <c r="M214"/>
  <c r="S213"/>
  <c r="G213"/>
  <c r="M212"/>
  <c r="S211"/>
  <c r="G211"/>
  <c r="M210"/>
  <c r="J208"/>
  <c r="P207"/>
  <c r="D207"/>
  <c r="J206"/>
  <c r="P205"/>
  <c r="D205"/>
  <c r="J204"/>
  <c r="S238"/>
  <c r="G238"/>
  <c r="M237"/>
  <c r="S236"/>
  <c r="G236"/>
  <c r="M235"/>
  <c r="S234"/>
  <c r="G234"/>
  <c r="M232"/>
  <c r="S231"/>
  <c r="G231"/>
  <c r="M230"/>
  <c r="S229"/>
  <c r="G229"/>
  <c r="M228"/>
  <c r="S226"/>
  <c r="G226"/>
  <c r="M225"/>
  <c r="S224"/>
  <c r="G224"/>
  <c r="M223"/>
  <c r="S222"/>
  <c r="G222"/>
  <c r="P220"/>
  <c r="D220"/>
  <c r="J219"/>
  <c r="P218"/>
  <c r="D218"/>
  <c r="J217"/>
  <c r="P216"/>
  <c r="D216"/>
  <c r="J214"/>
  <c r="P213"/>
  <c r="D213"/>
  <c r="J212"/>
  <c r="P211"/>
  <c r="D211"/>
  <c r="J210"/>
  <c r="S208"/>
  <c r="G208"/>
  <c r="M207"/>
  <c r="S206"/>
  <c r="G206"/>
  <c r="M205"/>
  <c r="S204"/>
  <c r="P198"/>
  <c r="J197"/>
  <c r="D196"/>
  <c r="P194"/>
  <c r="J192"/>
  <c r="D191"/>
  <c r="P189"/>
  <c r="J188"/>
  <c r="D186"/>
  <c r="P184"/>
  <c r="J183"/>
  <c r="D182"/>
  <c r="P179"/>
  <c r="J178"/>
  <c r="D177"/>
  <c r="J174"/>
  <c r="D173"/>
  <c r="P171"/>
  <c r="J170"/>
  <c r="D168"/>
  <c r="P166"/>
  <c r="J165"/>
  <c r="D164"/>
  <c r="D198"/>
  <c r="P196"/>
  <c r="J195"/>
  <c r="D194"/>
  <c r="P191"/>
  <c r="J190"/>
  <c r="D189"/>
  <c r="P186"/>
  <c r="J185"/>
  <c r="D184"/>
  <c r="P182"/>
  <c r="J180"/>
  <c r="D179"/>
  <c r="P177"/>
  <c r="J176"/>
  <c r="P173"/>
  <c r="J172"/>
  <c r="D171"/>
  <c r="P168"/>
  <c r="J167"/>
  <c r="D166"/>
  <c r="P164"/>
  <c r="M198"/>
  <c r="G197"/>
  <c r="S195"/>
  <c r="M194"/>
  <c r="G192"/>
  <c r="S190"/>
  <c r="M189"/>
  <c r="G188"/>
  <c r="S185"/>
  <c r="M184"/>
  <c r="G183"/>
  <c r="M180"/>
  <c r="G179"/>
  <c r="S177"/>
  <c r="M176"/>
  <c r="G174"/>
  <c r="S172"/>
  <c r="M171"/>
  <c r="G170"/>
  <c r="S167"/>
  <c r="M166"/>
  <c r="G165"/>
  <c r="J198"/>
  <c r="P197"/>
  <c r="D197"/>
  <c r="J196"/>
  <c r="P195"/>
  <c r="D195"/>
  <c r="J194"/>
  <c r="P192"/>
  <c r="D192"/>
  <c r="J191"/>
  <c r="P190"/>
  <c r="D190"/>
  <c r="J189"/>
  <c r="P188"/>
  <c r="D188"/>
  <c r="J186"/>
  <c r="P185"/>
  <c r="D185"/>
  <c r="J184"/>
  <c r="P183"/>
  <c r="D183"/>
  <c r="J182"/>
  <c r="S180"/>
  <c r="G180"/>
  <c r="M179"/>
  <c r="S178"/>
  <c r="G178"/>
  <c r="M177"/>
  <c r="S176"/>
  <c r="G176"/>
  <c r="P174"/>
  <c r="D174"/>
  <c r="J173"/>
  <c r="P172"/>
  <c r="D172"/>
  <c r="J171"/>
  <c r="P170"/>
  <c r="D170"/>
  <c r="J168"/>
  <c r="P167"/>
  <c r="D167"/>
  <c r="J166"/>
  <c r="P165"/>
  <c r="D165"/>
  <c r="V165" s="1"/>
  <c r="J164"/>
  <c r="S198"/>
  <c r="G198"/>
  <c r="M197"/>
  <c r="S196"/>
  <c r="G196"/>
  <c r="M195"/>
  <c r="S194"/>
  <c r="G194"/>
  <c r="M192"/>
  <c r="S191"/>
  <c r="G191"/>
  <c r="M190"/>
  <c r="S189"/>
  <c r="G189"/>
  <c r="M188"/>
  <c r="S186"/>
  <c r="G186"/>
  <c r="M185"/>
  <c r="S184"/>
  <c r="G184"/>
  <c r="M183"/>
  <c r="S182"/>
  <c r="G182"/>
  <c r="P180"/>
  <c r="D180"/>
  <c r="J179"/>
  <c r="P178"/>
  <c r="D178"/>
  <c r="J177"/>
  <c r="P176"/>
  <c r="D176"/>
  <c r="M174"/>
  <c r="S173"/>
  <c r="G173"/>
  <c r="M172"/>
  <c r="S171"/>
  <c r="G171"/>
  <c r="M170"/>
  <c r="S168"/>
  <c r="G168"/>
  <c r="M167"/>
  <c r="S166"/>
  <c r="G166"/>
  <c r="M165"/>
  <c r="S164"/>
  <c r="S358"/>
  <c r="G358"/>
  <c r="M357"/>
  <c r="S356"/>
  <c r="G356"/>
  <c r="M355"/>
  <c r="S354"/>
  <c r="G354"/>
  <c r="M352"/>
  <c r="S351"/>
  <c r="G351"/>
  <c r="M350"/>
  <c r="S349"/>
  <c r="G349"/>
  <c r="M348"/>
  <c r="J346"/>
  <c r="P345"/>
  <c r="D345"/>
  <c r="J344"/>
  <c r="P343"/>
  <c r="D343"/>
  <c r="J342"/>
  <c r="P340"/>
  <c r="D340"/>
  <c r="J339"/>
  <c r="P338"/>
  <c r="D338"/>
  <c r="J337"/>
  <c r="P336"/>
  <c r="D336"/>
  <c r="J334"/>
  <c r="P333"/>
  <c r="D333"/>
  <c r="J332"/>
  <c r="P331"/>
  <c r="D331"/>
  <c r="J330"/>
  <c r="P328"/>
  <c r="D328"/>
  <c r="J327"/>
  <c r="P326"/>
  <c r="D326"/>
  <c r="J325"/>
  <c r="P324"/>
  <c r="D324"/>
  <c r="V324" s="1"/>
  <c r="F22" i="17" s="1"/>
  <c r="P358" i="16"/>
  <c r="D358"/>
  <c r="J357"/>
  <c r="P356"/>
  <c r="D356"/>
  <c r="J355"/>
  <c r="P354"/>
  <c r="D354"/>
  <c r="J352"/>
  <c r="P351"/>
  <c r="D351"/>
  <c r="J350"/>
  <c r="P349"/>
  <c r="D349"/>
  <c r="J348"/>
  <c r="S346"/>
  <c r="G346"/>
  <c r="M345"/>
  <c r="S344"/>
  <c r="G344"/>
  <c r="M343"/>
  <c r="S342"/>
  <c r="G342"/>
  <c r="M340"/>
  <c r="S339"/>
  <c r="G339"/>
  <c r="M338"/>
  <c r="S337"/>
  <c r="G337"/>
  <c r="M336"/>
  <c r="S334"/>
  <c r="G334"/>
  <c r="M333"/>
  <c r="S332"/>
  <c r="G332"/>
  <c r="M331"/>
  <c r="S330"/>
  <c r="G330"/>
  <c r="M328"/>
  <c r="S327"/>
  <c r="G327"/>
  <c r="M326"/>
  <c r="S325"/>
  <c r="G325"/>
  <c r="G318"/>
  <c r="S316"/>
  <c r="M315"/>
  <c r="G314"/>
  <c r="G312"/>
  <c r="S310"/>
  <c r="M309"/>
  <c r="G308"/>
  <c r="D306"/>
  <c r="P304"/>
  <c r="J303"/>
  <c r="D302"/>
  <c r="P299"/>
  <c r="J298"/>
  <c r="D297"/>
  <c r="S294"/>
  <c r="G294"/>
  <c r="S292"/>
  <c r="M291"/>
  <c r="G290"/>
  <c r="S287"/>
  <c r="M286"/>
  <c r="M284"/>
  <c r="M318"/>
  <c r="S317"/>
  <c r="G317"/>
  <c r="M316"/>
  <c r="S315"/>
  <c r="G315"/>
  <c r="M314"/>
  <c r="M312"/>
  <c r="S311"/>
  <c r="G311"/>
  <c r="M310"/>
  <c r="S309"/>
  <c r="G309"/>
  <c r="M308"/>
  <c r="J306"/>
  <c r="P305"/>
  <c r="D305"/>
  <c r="J304"/>
  <c r="P303"/>
  <c r="D303"/>
  <c r="J302"/>
  <c r="P300"/>
  <c r="D300"/>
  <c r="J299"/>
  <c r="P298"/>
  <c r="D298"/>
  <c r="J297"/>
  <c r="P296"/>
  <c r="D296"/>
  <c r="M294"/>
  <c r="S293"/>
  <c r="G293"/>
  <c r="M292"/>
  <c r="S291"/>
  <c r="G291"/>
  <c r="M290"/>
  <c r="S288"/>
  <c r="G288"/>
  <c r="M287"/>
  <c r="S286"/>
  <c r="G286"/>
  <c r="M285"/>
  <c r="S284"/>
  <c r="G284"/>
  <c r="S318"/>
  <c r="M317"/>
  <c r="G316"/>
  <c r="S314"/>
  <c r="S312"/>
  <c r="M311"/>
  <c r="G310"/>
  <c r="S308"/>
  <c r="P306"/>
  <c r="J305"/>
  <c r="D304"/>
  <c r="P302"/>
  <c r="J300"/>
  <c r="D299"/>
  <c r="P297"/>
  <c r="J296"/>
  <c r="M293"/>
  <c r="G292"/>
  <c r="S290"/>
  <c r="M288"/>
  <c r="G287"/>
  <c r="S285"/>
  <c r="G285"/>
  <c r="J318"/>
  <c r="P317"/>
  <c r="D317"/>
  <c r="J316"/>
  <c r="P315"/>
  <c r="D315"/>
  <c r="J314"/>
  <c r="J312"/>
  <c r="P311"/>
  <c r="D311"/>
  <c r="J310"/>
  <c r="P309"/>
  <c r="D309"/>
  <c r="J308"/>
  <c r="S306"/>
  <c r="G306"/>
  <c r="M305"/>
  <c r="S304"/>
  <c r="G304"/>
  <c r="M303"/>
  <c r="S302"/>
  <c r="G302"/>
  <c r="M300"/>
  <c r="S299"/>
  <c r="G299"/>
  <c r="M298"/>
  <c r="S297"/>
  <c r="G297"/>
  <c r="M296"/>
  <c r="J294"/>
  <c r="P293"/>
  <c r="D293"/>
  <c r="J292"/>
  <c r="P291"/>
  <c r="D291"/>
  <c r="J290"/>
  <c r="P288"/>
  <c r="D288"/>
  <c r="J287"/>
  <c r="P286"/>
  <c r="D286"/>
  <c r="J285"/>
  <c r="P284"/>
  <c r="M47"/>
  <c r="G46"/>
  <c r="P54"/>
  <c r="J72"/>
  <c r="P69"/>
  <c r="P59"/>
  <c r="D57"/>
  <c r="D47"/>
  <c r="J44"/>
  <c r="G70"/>
  <c r="M66"/>
  <c r="M57"/>
  <c r="S53"/>
  <c r="D71"/>
  <c r="J68"/>
  <c r="P45"/>
  <c r="S77"/>
  <c r="S68"/>
  <c r="G65"/>
  <c r="G56"/>
  <c r="M52"/>
  <c r="M78"/>
  <c r="G77"/>
  <c r="S75"/>
  <c r="M74"/>
  <c r="G72"/>
  <c r="S70"/>
  <c r="M69"/>
  <c r="G68"/>
  <c r="S65"/>
  <c r="M64"/>
  <c r="G63"/>
  <c r="S60"/>
  <c r="M59"/>
  <c r="G58"/>
  <c r="S56"/>
  <c r="M54"/>
  <c r="G53"/>
  <c r="S51"/>
  <c r="M50"/>
  <c r="G48"/>
  <c r="S46"/>
  <c r="M45"/>
  <c r="G44"/>
  <c r="D78"/>
  <c r="P76"/>
  <c r="J75"/>
  <c r="D74"/>
  <c r="P71"/>
  <c r="J70"/>
  <c r="D69"/>
  <c r="P66"/>
  <c r="J65"/>
  <c r="D64"/>
  <c r="P62"/>
  <c r="J60"/>
  <c r="D59"/>
  <c r="P57"/>
  <c r="J56"/>
  <c r="D54"/>
  <c r="P52"/>
  <c r="J51"/>
  <c r="D50"/>
  <c r="P47"/>
  <c r="J46"/>
  <c r="J78"/>
  <c r="P77"/>
  <c r="D77"/>
  <c r="J76"/>
  <c r="P75"/>
  <c r="D75"/>
  <c r="J74"/>
  <c r="P72"/>
  <c r="D72"/>
  <c r="J71"/>
  <c r="P70"/>
  <c r="D70"/>
  <c r="J69"/>
  <c r="P68"/>
  <c r="D68"/>
  <c r="J66"/>
  <c r="P65"/>
  <c r="D65"/>
  <c r="J64"/>
  <c r="P63"/>
  <c r="D63"/>
  <c r="J62"/>
  <c r="P60"/>
  <c r="D60"/>
  <c r="J59"/>
  <c r="P58"/>
  <c r="D58"/>
  <c r="J57"/>
  <c r="P56"/>
  <c r="D56"/>
  <c r="J54"/>
  <c r="P53"/>
  <c r="D53"/>
  <c r="J52"/>
  <c r="P51"/>
  <c r="D51"/>
  <c r="J50"/>
  <c r="P48"/>
  <c r="D48"/>
  <c r="J47"/>
  <c r="P46"/>
  <c r="D46"/>
  <c r="J45"/>
  <c r="P44"/>
  <c r="D44"/>
  <c r="S78"/>
  <c r="G78"/>
  <c r="M77"/>
  <c r="S76"/>
  <c r="G76"/>
  <c r="M75"/>
  <c r="S74"/>
  <c r="G74"/>
  <c r="M72"/>
  <c r="S71"/>
  <c r="G71"/>
  <c r="M70"/>
  <c r="S69"/>
  <c r="G69"/>
  <c r="M68"/>
  <c r="S66"/>
  <c r="G66"/>
  <c r="M65"/>
  <c r="S64"/>
  <c r="G64"/>
  <c r="M63"/>
  <c r="S62"/>
  <c r="G62"/>
  <c r="M60"/>
  <c r="S59"/>
  <c r="G59"/>
  <c r="M58"/>
  <c r="S57"/>
  <c r="G57"/>
  <c r="M56"/>
  <c r="S54"/>
  <c r="G54"/>
  <c r="M53"/>
  <c r="S52"/>
  <c r="G52"/>
  <c r="M51"/>
  <c r="S50"/>
  <c r="G50"/>
  <c r="M48"/>
  <c r="S47"/>
  <c r="G47"/>
  <c r="M46"/>
  <c r="S45"/>
  <c r="G45"/>
  <c r="I1" i="11"/>
  <c r="I1" i="5"/>
  <c r="G233" i="16"/>
  <c r="V235"/>
  <c r="V184"/>
  <c r="V198"/>
  <c r="I32" i="14"/>
  <c r="I46"/>
  <c r="G32"/>
  <c r="G46"/>
  <c r="I12"/>
  <c r="D32"/>
  <c r="J32" s="1"/>
  <c r="H32"/>
  <c r="H46"/>
  <c r="G91" i="16"/>
  <c r="J97"/>
  <c r="P103"/>
  <c r="M110"/>
  <c r="S116"/>
  <c r="M91"/>
  <c r="D104"/>
  <c r="M116"/>
  <c r="D88"/>
  <c r="J94"/>
  <c r="G102"/>
  <c r="J108"/>
  <c r="P114"/>
  <c r="S85"/>
  <c r="J98"/>
  <c r="S110"/>
  <c r="G96"/>
  <c r="P85"/>
  <c r="G100"/>
  <c r="M99"/>
  <c r="P94"/>
  <c r="S103"/>
  <c r="S86"/>
  <c r="G93"/>
  <c r="J99"/>
  <c r="P105"/>
  <c r="M112"/>
  <c r="S118"/>
  <c r="J96"/>
  <c r="S108"/>
  <c r="P84"/>
  <c r="D91"/>
  <c r="S97"/>
  <c r="G104"/>
  <c r="J110"/>
  <c r="P116"/>
  <c r="S90"/>
  <c r="J103"/>
  <c r="S115"/>
  <c r="G105"/>
  <c r="M104"/>
  <c r="J84"/>
  <c r="J109"/>
  <c r="J114"/>
  <c r="J86"/>
  <c r="G86"/>
  <c r="M92"/>
  <c r="P98"/>
  <c r="D105"/>
  <c r="S111"/>
  <c r="G118"/>
  <c r="G94"/>
  <c r="P106"/>
  <c r="D84"/>
  <c r="J90"/>
  <c r="G97"/>
  <c r="M103"/>
  <c r="P109"/>
  <c r="D116"/>
  <c r="M88"/>
  <c r="D102"/>
  <c r="M114"/>
  <c r="M102"/>
  <c r="G98"/>
  <c r="P112"/>
  <c r="S105"/>
  <c r="D108"/>
  <c r="D14" i="14"/>
  <c r="E16" i="17"/>
  <c r="M87" i="16"/>
  <c r="G88"/>
  <c r="M94"/>
  <c r="P100"/>
  <c r="M108"/>
  <c r="S114"/>
  <c r="M86"/>
  <c r="D99"/>
  <c r="M111"/>
  <c r="D86"/>
  <c r="M96"/>
  <c r="S102"/>
  <c r="D109"/>
  <c r="J115"/>
  <c r="G87"/>
  <c r="P99"/>
  <c r="G112"/>
  <c r="S98"/>
  <c r="D92"/>
  <c r="M106"/>
  <c r="G103"/>
  <c r="S100"/>
  <c r="G8"/>
  <c r="G12" i="14"/>
  <c r="F32"/>
  <c r="F46"/>
  <c r="H12"/>
  <c r="F12"/>
  <c r="P11" i="16"/>
  <c r="S29"/>
  <c r="G19"/>
  <c r="P37"/>
  <c r="D22"/>
  <c r="M5"/>
  <c r="P18"/>
  <c r="G10"/>
  <c r="J4"/>
  <c r="G5"/>
  <c r="G20"/>
  <c r="M30"/>
  <c r="G12"/>
  <c r="J28"/>
  <c r="S7"/>
  <c r="S24"/>
  <c r="J22"/>
  <c r="D6"/>
  <c r="M17"/>
  <c r="G36"/>
  <c r="D14"/>
  <c r="D36"/>
  <c r="D8"/>
  <c r="P4"/>
  <c r="G28"/>
  <c r="S16"/>
  <c r="D32"/>
  <c r="S34"/>
  <c r="D34"/>
  <c r="S12"/>
  <c r="S13"/>
  <c r="M14"/>
  <c r="J24"/>
  <c r="P30"/>
  <c r="S19"/>
  <c r="G6"/>
  <c r="P6"/>
  <c r="M8"/>
  <c r="M29"/>
  <c r="S23"/>
  <c r="G18"/>
  <c r="D35"/>
  <c r="D23"/>
  <c r="D20"/>
  <c r="M37"/>
  <c r="G26"/>
  <c r="D38"/>
  <c r="M12"/>
  <c r="M34"/>
  <c r="G13"/>
  <c r="P10"/>
  <c r="M13"/>
  <c r="J8"/>
  <c r="J31"/>
  <c r="J34"/>
  <c r="J16"/>
  <c r="G35"/>
  <c r="M7"/>
  <c r="M36"/>
  <c r="G25"/>
  <c r="D37"/>
  <c r="G29"/>
  <c r="P22"/>
  <c r="P17"/>
  <c r="S26"/>
  <c r="J23"/>
  <c r="J5"/>
  <c r="J30"/>
  <c r="D5"/>
  <c r="G4"/>
  <c r="D4"/>
  <c r="M6"/>
  <c r="M38"/>
  <c r="S32"/>
  <c r="G16"/>
  <c r="S18"/>
  <c r="P28"/>
  <c r="P20"/>
  <c r="S38"/>
  <c r="M16"/>
  <c r="S10"/>
  <c r="D17"/>
  <c r="G14"/>
  <c r="D29"/>
  <c r="G34"/>
  <c r="P12"/>
  <c r="S36"/>
  <c r="J18"/>
  <c r="J36"/>
  <c r="J19"/>
  <c r="J20"/>
  <c r="D187"/>
  <c r="J169"/>
  <c r="M244"/>
  <c r="S277"/>
  <c r="M276"/>
  <c r="G275"/>
  <c r="S272"/>
  <c r="M271"/>
  <c r="G270"/>
  <c r="S268"/>
  <c r="M266"/>
  <c r="G265"/>
  <c r="S263"/>
  <c r="M262"/>
  <c r="G260"/>
  <c r="S258"/>
  <c r="M257"/>
  <c r="G256"/>
  <c r="S253"/>
  <c r="M252"/>
  <c r="G251"/>
  <c r="S248"/>
  <c r="M247"/>
  <c r="G246"/>
  <c r="S244"/>
  <c r="G18" i="14"/>
  <c r="M278" i="16"/>
  <c r="G277"/>
  <c r="S275"/>
  <c r="M274"/>
  <c r="G272"/>
  <c r="S270"/>
  <c r="M269"/>
  <c r="G268"/>
  <c r="S265"/>
  <c r="M264"/>
  <c r="G263"/>
  <c r="S260"/>
  <c r="M259"/>
  <c r="G258"/>
  <c r="S256"/>
  <c r="M254"/>
  <c r="G253"/>
  <c r="S251"/>
  <c r="M250"/>
  <c r="G248"/>
  <c r="S246"/>
  <c r="M245"/>
  <c r="G377"/>
  <c r="E21" i="14"/>
  <c r="L23" i="17"/>
  <c r="D85" i="16"/>
  <c r="P115"/>
  <c r="P90"/>
  <c r="D117"/>
  <c r="J111"/>
  <c r="M118"/>
  <c r="D106"/>
  <c r="M93"/>
  <c r="D118"/>
  <c r="P111"/>
  <c r="M105"/>
  <c r="G99"/>
  <c r="J92"/>
  <c r="S117"/>
  <c r="J105"/>
  <c r="S92"/>
  <c r="M117"/>
  <c r="G111"/>
  <c r="J104"/>
  <c r="D98"/>
  <c r="S91"/>
  <c r="M85"/>
  <c r="D94"/>
  <c r="J118"/>
  <c r="J93"/>
  <c r="P87"/>
  <c r="D115"/>
  <c r="D90"/>
  <c r="G108"/>
  <c r="S94"/>
  <c r="P118"/>
  <c r="J112"/>
  <c r="G106"/>
  <c r="S99"/>
  <c r="D93"/>
  <c r="P86"/>
  <c r="S112"/>
  <c r="J100"/>
  <c r="S87"/>
  <c r="M115"/>
  <c r="G109"/>
  <c r="J102"/>
  <c r="D96"/>
  <c r="S88"/>
  <c r="F14" i="14"/>
  <c r="M97" i="16"/>
  <c r="J88"/>
  <c r="S96"/>
  <c r="J91"/>
  <c r="P117"/>
  <c r="P92"/>
  <c r="M109"/>
  <c r="D97"/>
  <c r="G85"/>
  <c r="D114"/>
  <c r="S106"/>
  <c r="M100"/>
  <c r="P93"/>
  <c r="J87"/>
  <c r="G115"/>
  <c r="P102"/>
  <c r="G90"/>
  <c r="G116"/>
  <c r="S109"/>
  <c r="D103"/>
  <c r="P96"/>
  <c r="M90"/>
  <c r="G14" i="14"/>
  <c r="G26"/>
  <c r="G84" i="16"/>
  <c r="G83" s="1"/>
  <c r="D112"/>
  <c r="D87"/>
  <c r="P110"/>
  <c r="P108"/>
  <c r="G117"/>
  <c r="P104"/>
  <c r="G92"/>
  <c r="J117"/>
  <c r="D111"/>
  <c r="S104"/>
  <c r="M98"/>
  <c r="P91"/>
  <c r="J85"/>
  <c r="J83" s="1"/>
  <c r="J119" s="1"/>
  <c r="G110"/>
  <c r="P97"/>
  <c r="M84"/>
  <c r="M83" s="1"/>
  <c r="M119" s="1"/>
  <c r="G114"/>
  <c r="J106"/>
  <c r="D100"/>
  <c r="S93"/>
  <c r="S84"/>
  <c r="I1" i="6"/>
  <c r="I24" i="1"/>
  <c r="E14" i="14"/>
  <c r="L16" i="17"/>
  <c r="J116" i="16"/>
  <c r="D110"/>
  <c r="H14" i="14"/>
  <c r="D193" i="16"/>
  <c r="J187"/>
  <c r="S283"/>
  <c r="D295"/>
  <c r="G307"/>
  <c r="M307"/>
  <c r="M313"/>
  <c r="G289"/>
  <c r="P295"/>
  <c r="F27" i="14"/>
  <c r="I27"/>
  <c r="G27"/>
  <c r="E27"/>
  <c r="H27"/>
  <c r="D46"/>
  <c r="S398" i="16"/>
  <c r="M398"/>
  <c r="G398"/>
  <c r="S397"/>
  <c r="M397"/>
  <c r="G397"/>
  <c r="S396"/>
  <c r="M396"/>
  <c r="G396"/>
  <c r="S395"/>
  <c r="M395"/>
  <c r="G395"/>
  <c r="S394"/>
  <c r="M394"/>
  <c r="G394"/>
  <c r="S392"/>
  <c r="M392"/>
  <c r="G392"/>
  <c r="S391"/>
  <c r="M391"/>
  <c r="G391"/>
  <c r="S390"/>
  <c r="M390"/>
  <c r="G390"/>
  <c r="S389"/>
  <c r="M389"/>
  <c r="G389"/>
  <c r="S388"/>
  <c r="M388"/>
  <c r="G388"/>
  <c r="S386"/>
  <c r="M386"/>
  <c r="G386"/>
  <c r="S385"/>
  <c r="M385"/>
  <c r="G385"/>
  <c r="S384"/>
  <c r="M384"/>
  <c r="G384"/>
  <c r="S383"/>
  <c r="M383"/>
  <c r="G383"/>
  <c r="S382"/>
  <c r="M382"/>
  <c r="G382"/>
  <c r="S380"/>
  <c r="M380"/>
  <c r="G380"/>
  <c r="S379"/>
  <c r="M379"/>
  <c r="G379"/>
  <c r="S378"/>
  <c r="M378"/>
  <c r="G378"/>
  <c r="S377"/>
  <c r="M377"/>
  <c r="D377"/>
  <c r="P376"/>
  <c r="J376"/>
  <c r="D376"/>
  <c r="P374"/>
  <c r="J374"/>
  <c r="D374"/>
  <c r="P373"/>
  <c r="J373"/>
  <c r="D373"/>
  <c r="P372"/>
  <c r="J372"/>
  <c r="D372"/>
  <c r="P371"/>
  <c r="J371"/>
  <c r="D371"/>
  <c r="P370"/>
  <c r="J370"/>
  <c r="D370"/>
  <c r="P368"/>
  <c r="J368"/>
  <c r="D368"/>
  <c r="P367"/>
  <c r="J367"/>
  <c r="D367"/>
  <c r="P366"/>
  <c r="J366"/>
  <c r="D366"/>
  <c r="P365"/>
  <c r="J365"/>
  <c r="D365"/>
  <c r="P364"/>
  <c r="J364"/>
  <c r="D364"/>
  <c r="P398"/>
  <c r="J398"/>
  <c r="D398"/>
  <c r="P397"/>
  <c r="J397"/>
  <c r="D397"/>
  <c r="P396"/>
  <c r="J396"/>
  <c r="D396"/>
  <c r="P395"/>
  <c r="J395"/>
  <c r="D395"/>
  <c r="P394"/>
  <c r="J394"/>
  <c r="D394"/>
  <c r="P392"/>
  <c r="J392"/>
  <c r="D392"/>
  <c r="P391"/>
  <c r="J391"/>
  <c r="D391"/>
  <c r="P390"/>
  <c r="J390"/>
  <c r="D390"/>
  <c r="P389"/>
  <c r="J389"/>
  <c r="D389"/>
  <c r="P388"/>
  <c r="J388"/>
  <c r="D388"/>
  <c r="P386"/>
  <c r="J386"/>
  <c r="D386"/>
  <c r="P385"/>
  <c r="J385"/>
  <c r="D385"/>
  <c r="P384"/>
  <c r="J384"/>
  <c r="D384"/>
  <c r="P383"/>
  <c r="J383"/>
  <c r="D383"/>
  <c r="P382"/>
  <c r="J382"/>
  <c r="D382"/>
  <c r="P380"/>
  <c r="J380"/>
  <c r="D380"/>
  <c r="P379"/>
  <c r="J379"/>
  <c r="D379"/>
  <c r="P378"/>
  <c r="J378"/>
  <c r="D378"/>
  <c r="P377"/>
  <c r="J377"/>
  <c r="S376"/>
  <c r="M376"/>
  <c r="G376"/>
  <c r="S374"/>
  <c r="M374"/>
  <c r="G374"/>
  <c r="S373"/>
  <c r="M373"/>
  <c r="G373"/>
  <c r="S372"/>
  <c r="M372"/>
  <c r="G372"/>
  <c r="S371"/>
  <c r="M371"/>
  <c r="G371"/>
  <c r="S370"/>
  <c r="M370"/>
  <c r="G370"/>
  <c r="S368"/>
  <c r="M368"/>
  <c r="G368"/>
  <c r="S367"/>
  <c r="M367"/>
  <c r="G367"/>
  <c r="S366"/>
  <c r="M366"/>
  <c r="G366"/>
  <c r="S365"/>
  <c r="M365"/>
  <c r="G365"/>
  <c r="S364"/>
  <c r="M364"/>
  <c r="D284"/>
  <c r="P318"/>
  <c r="J317"/>
  <c r="V317"/>
  <c r="D316"/>
  <c r="P314"/>
  <c r="P312"/>
  <c r="J311"/>
  <c r="V311" s="1"/>
  <c r="D310"/>
  <c r="P308"/>
  <c r="M306"/>
  <c r="V306" s="1"/>
  <c r="G305"/>
  <c r="S303"/>
  <c r="M302"/>
  <c r="V302" s="1"/>
  <c r="G300"/>
  <c r="S298"/>
  <c r="M297"/>
  <c r="G296"/>
  <c r="D294"/>
  <c r="P292"/>
  <c r="J291"/>
  <c r="D290"/>
  <c r="P287"/>
  <c r="J286"/>
  <c r="D285"/>
  <c r="D318"/>
  <c r="P316"/>
  <c r="J315"/>
  <c r="V315" s="1"/>
  <c r="D314"/>
  <c r="D312"/>
  <c r="P310"/>
  <c r="J309"/>
  <c r="V309"/>
  <c r="D308"/>
  <c r="S305"/>
  <c r="M304"/>
  <c r="V304"/>
  <c r="G303"/>
  <c r="S300"/>
  <c r="M299"/>
  <c r="V299"/>
  <c r="G298"/>
  <c r="S296"/>
  <c r="P294"/>
  <c r="J293"/>
  <c r="V293" s="1"/>
  <c r="D292"/>
  <c r="P290"/>
  <c r="J288"/>
  <c r="V288" s="1"/>
  <c r="D287"/>
  <c r="P285"/>
  <c r="P283" s="1"/>
  <c r="P319" s="1"/>
  <c r="G205"/>
  <c r="D236"/>
  <c r="P229"/>
  <c r="P227" s="1"/>
  <c r="J223"/>
  <c r="J221" s="1"/>
  <c r="M216"/>
  <c r="G210"/>
  <c r="D204"/>
  <c r="D203" s="1"/>
  <c r="J237"/>
  <c r="V237" s="1"/>
  <c r="D231"/>
  <c r="V231" s="1"/>
  <c r="P224"/>
  <c r="S217"/>
  <c r="M211"/>
  <c r="M196"/>
  <c r="S192"/>
  <c r="G190"/>
  <c r="G187"/>
  <c r="M186"/>
  <c r="S183"/>
  <c r="S179"/>
  <c r="V179"/>
  <c r="G177"/>
  <c r="V177"/>
  <c r="M173"/>
  <c r="S170"/>
  <c r="G167"/>
  <c r="M164"/>
  <c r="G164"/>
  <c r="S197"/>
  <c r="V197" s="1"/>
  <c r="G195"/>
  <c r="V195" s="1"/>
  <c r="M191"/>
  <c r="S188"/>
  <c r="V188"/>
  <c r="G185"/>
  <c r="V185"/>
  <c r="M182"/>
  <c r="M178"/>
  <c r="M175" s="1"/>
  <c r="V175" s="1"/>
  <c r="S174"/>
  <c r="G172"/>
  <c r="M168"/>
  <c r="V98"/>
  <c r="H26" i="14"/>
  <c r="V103" i="16"/>
  <c r="F26" i="14"/>
  <c r="I1" i="12"/>
  <c r="M206"/>
  <c r="C22" i="17" s="1"/>
  <c r="J22" s="1"/>
  <c r="M358" i="16"/>
  <c r="S357"/>
  <c r="G357"/>
  <c r="M356"/>
  <c r="S355"/>
  <c r="G355"/>
  <c r="M354"/>
  <c r="S352"/>
  <c r="G352"/>
  <c r="M351"/>
  <c r="S350"/>
  <c r="G350"/>
  <c r="M349"/>
  <c r="S348"/>
  <c r="G348"/>
  <c r="G347" s="1"/>
  <c r="V347" s="1"/>
  <c r="P346"/>
  <c r="D346"/>
  <c r="D341"/>
  <c r="J345"/>
  <c r="P344"/>
  <c r="D344"/>
  <c r="J343"/>
  <c r="P342"/>
  <c r="D342"/>
  <c r="J340"/>
  <c r="P339"/>
  <c r="D339"/>
  <c r="J338"/>
  <c r="P337"/>
  <c r="D337"/>
  <c r="J336"/>
  <c r="P334"/>
  <c r="D334"/>
  <c r="J333"/>
  <c r="P332"/>
  <c r="D332"/>
  <c r="J331"/>
  <c r="P330"/>
  <c r="D330"/>
  <c r="J328"/>
  <c r="P327"/>
  <c r="D327"/>
  <c r="J326"/>
  <c r="P325"/>
  <c r="D325"/>
  <c r="D323"/>
  <c r="J324"/>
  <c r="I20" i="14"/>
  <c r="M324" i="16"/>
  <c r="J358"/>
  <c r="V358" s="1"/>
  <c r="P357"/>
  <c r="D357"/>
  <c r="J356"/>
  <c r="P355"/>
  <c r="D355"/>
  <c r="J354"/>
  <c r="P352"/>
  <c r="D352"/>
  <c r="J351"/>
  <c r="P350"/>
  <c r="D350"/>
  <c r="J349"/>
  <c r="P348"/>
  <c r="D348"/>
  <c r="M346"/>
  <c r="S345"/>
  <c r="G345"/>
  <c r="M344"/>
  <c r="S343"/>
  <c r="G343"/>
  <c r="M342"/>
  <c r="S340"/>
  <c r="G340"/>
  <c r="M339"/>
  <c r="S338"/>
  <c r="G338"/>
  <c r="M337"/>
  <c r="S336"/>
  <c r="G336"/>
  <c r="M334"/>
  <c r="S333"/>
  <c r="G333"/>
  <c r="M332"/>
  <c r="S331"/>
  <c r="G331"/>
  <c r="M330"/>
  <c r="S328"/>
  <c r="G328"/>
  <c r="M327"/>
  <c r="S326"/>
  <c r="G326"/>
  <c r="M325"/>
  <c r="S324"/>
  <c r="J375"/>
  <c r="V170"/>
  <c r="I26" i="14"/>
  <c r="F15"/>
  <c r="P124" i="16"/>
  <c r="J125"/>
  <c r="D126"/>
  <c r="J127"/>
  <c r="D128"/>
  <c r="D131"/>
  <c r="J132"/>
  <c r="P133"/>
  <c r="D136"/>
  <c r="D138"/>
  <c r="J139"/>
  <c r="D140"/>
  <c r="J142"/>
  <c r="D145"/>
  <c r="J146"/>
  <c r="D148"/>
  <c r="P148"/>
  <c r="P150"/>
  <c r="D152"/>
  <c r="D155"/>
  <c r="J156"/>
  <c r="D157"/>
  <c r="J158"/>
  <c r="S125"/>
  <c r="M128"/>
  <c r="S130"/>
  <c r="M133"/>
  <c r="M140"/>
  <c r="G144"/>
  <c r="G146"/>
  <c r="G151"/>
  <c r="S154"/>
  <c r="M157"/>
  <c r="J124"/>
  <c r="D127"/>
  <c r="P130"/>
  <c r="J133"/>
  <c r="D137"/>
  <c r="P139"/>
  <c r="J143"/>
  <c r="D146"/>
  <c r="P149"/>
  <c r="J152"/>
  <c r="D156"/>
  <c r="P158"/>
  <c r="S124"/>
  <c r="G126"/>
  <c r="M127"/>
  <c r="S128"/>
  <c r="G131"/>
  <c r="M132"/>
  <c r="S133"/>
  <c r="G136"/>
  <c r="M137"/>
  <c r="S138"/>
  <c r="G140"/>
  <c r="G143"/>
  <c r="M144"/>
  <c r="S145"/>
  <c r="G148"/>
  <c r="M149"/>
  <c r="S150"/>
  <c r="G152"/>
  <c r="M154"/>
  <c r="S155"/>
  <c r="G157"/>
  <c r="M158"/>
  <c r="M126"/>
  <c r="G130"/>
  <c r="S132"/>
  <c r="M136"/>
  <c r="M138"/>
  <c r="G142"/>
  <c r="M145"/>
  <c r="G149"/>
  <c r="S151"/>
  <c r="M155"/>
  <c r="G158"/>
  <c r="J126"/>
  <c r="D130"/>
  <c r="P132"/>
  <c r="J136"/>
  <c r="D139"/>
  <c r="P142"/>
  <c r="J145"/>
  <c r="D149"/>
  <c r="P151"/>
  <c r="J155"/>
  <c r="D158"/>
  <c r="P126"/>
  <c r="P128"/>
  <c r="J130"/>
  <c r="P131"/>
  <c r="D133"/>
  <c r="J134"/>
  <c r="P136"/>
  <c r="J137"/>
  <c r="P138"/>
  <c r="P140"/>
  <c r="D143"/>
  <c r="P143"/>
  <c r="J144"/>
  <c r="P145"/>
  <c r="J149"/>
  <c r="D150"/>
  <c r="J151"/>
  <c r="P152"/>
  <c r="J154"/>
  <c r="P155"/>
  <c r="P157"/>
  <c r="G125"/>
  <c r="G127"/>
  <c r="G132"/>
  <c r="S134"/>
  <c r="S137"/>
  <c r="G139"/>
  <c r="S142"/>
  <c r="S144"/>
  <c r="M148"/>
  <c r="S149"/>
  <c r="M152"/>
  <c r="G156"/>
  <c r="S158"/>
  <c r="P125"/>
  <c r="J128"/>
  <c r="D132"/>
  <c r="P134"/>
  <c r="J138"/>
  <c r="D142"/>
  <c r="P144"/>
  <c r="J148"/>
  <c r="V148" s="1"/>
  <c r="D151"/>
  <c r="P154"/>
  <c r="J157"/>
  <c r="G124"/>
  <c r="M125"/>
  <c r="S126"/>
  <c r="G128"/>
  <c r="M130"/>
  <c r="V130"/>
  <c r="S131"/>
  <c r="G133"/>
  <c r="M134"/>
  <c r="S136"/>
  <c r="G138"/>
  <c r="M139"/>
  <c r="S140"/>
  <c r="M142"/>
  <c r="S143"/>
  <c r="G145"/>
  <c r="G141" s="1"/>
  <c r="M146"/>
  <c r="S148"/>
  <c r="G150"/>
  <c r="M151"/>
  <c r="S152"/>
  <c r="G155"/>
  <c r="M156"/>
  <c r="S157"/>
  <c r="M124"/>
  <c r="S127"/>
  <c r="M131"/>
  <c r="G134"/>
  <c r="G137"/>
  <c r="S139"/>
  <c r="M143"/>
  <c r="S146"/>
  <c r="M150"/>
  <c r="G154"/>
  <c r="S156"/>
  <c r="D125"/>
  <c r="P127"/>
  <c r="J131"/>
  <c r="D134"/>
  <c r="P137"/>
  <c r="J140"/>
  <c r="V140" s="1"/>
  <c r="D144"/>
  <c r="P146"/>
  <c r="J150"/>
  <c r="D154"/>
  <c r="P156"/>
  <c r="I1" i="7"/>
  <c r="I25" i="1"/>
  <c r="V104" i="16"/>
  <c r="E12" i="14"/>
  <c r="J38" i="16"/>
  <c r="J37"/>
  <c r="D12"/>
  <c r="P31"/>
  <c r="G24"/>
  <c r="M35"/>
  <c r="M33" s="1"/>
  <c r="D19"/>
  <c r="P29"/>
  <c r="G22"/>
  <c r="P13"/>
  <c r="P16"/>
  <c r="P23"/>
  <c r="P35"/>
  <c r="M10"/>
  <c r="M24"/>
  <c r="G30"/>
  <c r="S35"/>
  <c r="P8"/>
  <c r="S6"/>
  <c r="D30"/>
  <c r="J12"/>
  <c r="M28"/>
  <c r="G31"/>
  <c r="P38"/>
  <c r="S17"/>
  <c r="D11"/>
  <c r="D25"/>
  <c r="M19"/>
  <c r="S30"/>
  <c r="M4"/>
  <c r="P5"/>
  <c r="D31"/>
  <c r="J26"/>
  <c r="J14"/>
  <c r="J32"/>
  <c r="G17"/>
  <c r="P34"/>
  <c r="V34" s="1"/>
  <c r="M32"/>
  <c r="P14"/>
  <c r="P24"/>
  <c r="P26"/>
  <c r="M20"/>
  <c r="S31"/>
  <c r="D13"/>
  <c r="D16"/>
  <c r="D28"/>
  <c r="S20"/>
  <c r="M26"/>
  <c r="G32"/>
  <c r="S37"/>
  <c r="S5"/>
  <c r="V5" s="1"/>
  <c r="S8"/>
  <c r="P7"/>
  <c r="P3" s="1"/>
  <c r="H2" i="14" s="1"/>
  <c r="J13" i="16"/>
  <c r="J11"/>
  <c r="J7"/>
  <c r="D26"/>
  <c r="V26" s="1"/>
  <c r="G38"/>
  <c r="P19"/>
  <c r="M23"/>
  <c r="D18"/>
  <c r="D15" s="1"/>
  <c r="D4" i="14" s="1"/>
  <c r="G11" i="16"/>
  <c r="G9" s="1"/>
  <c r="M22"/>
  <c r="G7"/>
  <c r="G3" s="1"/>
  <c r="S4"/>
  <c r="V4" s="1"/>
  <c r="F14" i="17" s="1"/>
  <c r="M11" i="16"/>
  <c r="M18"/>
  <c r="M15" s="1"/>
  <c r="G4" i="14" s="1"/>
  <c r="P36" i="16"/>
  <c r="P32"/>
  <c r="P27" s="1"/>
  <c r="H6" i="14" s="1"/>
  <c r="S28" i="16"/>
  <c r="J35"/>
  <c r="J33" s="1"/>
  <c r="M25"/>
  <c r="S11"/>
  <c r="V11" s="1"/>
  <c r="J17"/>
  <c r="J15" s="1"/>
  <c r="F4" i="14" s="1"/>
  <c r="S14" i="16"/>
  <c r="D24"/>
  <c r="P25"/>
  <c r="P21" s="1"/>
  <c r="H5" i="14" s="1"/>
  <c r="M31" i="16"/>
  <c r="D7"/>
  <c r="D3" s="1"/>
  <c r="D2" i="14" s="1"/>
  <c r="J6" i="16"/>
  <c r="V6" s="1"/>
  <c r="D10"/>
  <c r="D9" s="1"/>
  <c r="D3" i="14" s="1"/>
  <c r="G23" i="16"/>
  <c r="G21" s="1"/>
  <c r="E5" i="14" s="1"/>
  <c r="J29" i="16"/>
  <c r="V29" s="1"/>
  <c r="S25"/>
  <c r="J10"/>
  <c r="J9" s="1"/>
  <c r="F3" i="14" s="1"/>
  <c r="G37" i="16"/>
  <c r="G33" s="1"/>
  <c r="E7" i="14" s="1"/>
  <c r="S22" i="16"/>
  <c r="G353"/>
  <c r="M193"/>
  <c r="M113"/>
  <c r="P193"/>
  <c r="G221"/>
  <c r="E15" i="14"/>
  <c r="L17" i="17"/>
  <c r="N17"/>
  <c r="D35" i="14"/>
  <c r="J35"/>
  <c r="G15"/>
  <c r="P88" i="16"/>
  <c r="P83" s="1"/>
  <c r="N16" i="17"/>
  <c r="H20" i="14"/>
  <c r="F20"/>
  <c r="P393" i="16"/>
  <c r="G393"/>
  <c r="S393"/>
  <c r="G21" i="14"/>
  <c r="V395" i="16"/>
  <c r="F21" i="14"/>
  <c r="G364" i="16"/>
  <c r="J25"/>
  <c r="J21" s="1"/>
  <c r="F5" i="14" s="1"/>
  <c r="I22"/>
  <c r="N21" i="17"/>
  <c r="J284" i="16"/>
  <c r="I31" i="1"/>
  <c r="I30"/>
  <c r="I29"/>
  <c r="I27"/>
  <c r="V354" i="16"/>
  <c r="V94"/>
  <c r="V118"/>
  <c r="V115"/>
  <c r="S95"/>
  <c r="J107"/>
  <c r="S113"/>
  <c r="G95"/>
  <c r="P67"/>
  <c r="D301"/>
  <c r="P169"/>
  <c r="J193"/>
  <c r="J199" s="1"/>
  <c r="J393"/>
  <c r="J17" i="14"/>
  <c r="D19" i="17"/>
  <c r="K19" s="1"/>
  <c r="J40" i="14"/>
  <c r="J295" i="16"/>
  <c r="S307"/>
  <c r="J37" i="14"/>
  <c r="P101" i="16"/>
  <c r="K5" i="17"/>
  <c r="S289" i="16"/>
  <c r="P187"/>
  <c r="J301"/>
  <c r="M101"/>
  <c r="D33"/>
  <c r="J313"/>
  <c r="V391"/>
  <c r="D89"/>
  <c r="V102"/>
  <c r="V398"/>
  <c r="P363"/>
  <c r="S381"/>
  <c r="G381"/>
  <c r="S313"/>
  <c r="J181"/>
  <c r="V357"/>
  <c r="J89"/>
  <c r="V225"/>
  <c r="V389"/>
  <c r="D369"/>
  <c r="V369" s="1"/>
  <c r="V371"/>
  <c r="G387"/>
  <c r="V390"/>
  <c r="S353"/>
  <c r="D393"/>
  <c r="V397"/>
  <c r="D375"/>
  <c r="P329"/>
  <c r="J307"/>
  <c r="J381"/>
  <c r="L14" i="17"/>
  <c r="G283" i="16"/>
  <c r="D163"/>
  <c r="J123"/>
  <c r="G129"/>
  <c r="V336"/>
  <c r="V339"/>
  <c r="V382"/>
  <c r="V386"/>
  <c r="J387"/>
  <c r="V351"/>
  <c r="V110"/>
  <c r="S83"/>
  <c r="M375"/>
  <c r="G175"/>
  <c r="S101"/>
  <c r="D83"/>
  <c r="V86"/>
  <c r="N201" i="5"/>
  <c r="N201" i="6"/>
  <c r="M135" i="16"/>
  <c r="S341"/>
  <c r="D329"/>
  <c r="J335"/>
  <c r="P341"/>
  <c r="S347"/>
  <c r="V356"/>
  <c r="V378"/>
  <c r="P375"/>
  <c r="D381"/>
  <c r="V381" s="1"/>
  <c r="V384"/>
  <c r="P381"/>
  <c r="P399" s="1"/>
  <c r="D387"/>
  <c r="P387"/>
  <c r="V392"/>
  <c r="V394"/>
  <c r="D363"/>
  <c r="J363"/>
  <c r="J369"/>
  <c r="P369"/>
  <c r="M381"/>
  <c r="S387"/>
  <c r="V387"/>
  <c r="M387"/>
  <c r="M393"/>
  <c r="V332"/>
  <c r="V342"/>
  <c r="V344"/>
  <c r="V376"/>
  <c r="S375"/>
  <c r="V380"/>
  <c r="V385"/>
  <c r="J341"/>
  <c r="M347"/>
  <c r="G113"/>
  <c r="P147"/>
  <c r="G375"/>
  <c r="D153"/>
  <c r="V396"/>
  <c r="V334"/>
  <c r="V145"/>
  <c r="V314"/>
  <c r="V368"/>
  <c r="V370"/>
  <c r="G369"/>
  <c r="V373"/>
  <c r="V374"/>
  <c r="V377"/>
  <c r="V100"/>
  <c r="V97"/>
  <c r="G101"/>
  <c r="M153"/>
  <c r="V149"/>
  <c r="N10" i="4"/>
  <c r="V105" i="16"/>
  <c r="D169"/>
  <c r="G247"/>
  <c r="S250"/>
  <c r="S259"/>
  <c r="J248"/>
  <c r="M246"/>
  <c r="G250"/>
  <c r="G259"/>
  <c r="D247"/>
  <c r="G252"/>
  <c r="G257"/>
  <c r="G255" s="1"/>
  <c r="M263"/>
  <c r="G276"/>
  <c r="J275"/>
  <c r="M251"/>
  <c r="M249"/>
  <c r="M256"/>
  <c r="S262"/>
  <c r="M275"/>
  <c r="P269"/>
  <c r="G266"/>
  <c r="M272"/>
  <c r="S278"/>
  <c r="P254"/>
  <c r="J276"/>
  <c r="M265"/>
  <c r="M261" s="1"/>
  <c r="S271"/>
  <c r="S267"/>
  <c r="G278"/>
  <c r="J253"/>
  <c r="D260"/>
  <c r="D262"/>
  <c r="D251"/>
  <c r="D264"/>
  <c r="P272"/>
  <c r="P259"/>
  <c r="J247"/>
  <c r="J270"/>
  <c r="J19" i="14"/>
  <c r="D21" i="17"/>
  <c r="K21"/>
  <c r="D39" i="14"/>
  <c r="M203" i="11"/>
  <c r="M205" i="10"/>
  <c r="P263" i="16"/>
  <c r="M243"/>
  <c r="I1" i="4"/>
  <c r="I22" i="1" s="1"/>
  <c r="I32" s="1"/>
  <c r="M3" i="16"/>
  <c r="J153"/>
  <c r="J141"/>
  <c r="M369"/>
  <c r="J175"/>
  <c r="J34" i="14"/>
  <c r="M202" i="6"/>
  <c r="B16" i="17"/>
  <c r="M206" i="6"/>
  <c r="C16" i="17" s="1"/>
  <c r="J16" s="1"/>
  <c r="V372" i="16"/>
  <c r="S369"/>
  <c r="D18" i="14"/>
  <c r="E20" i="17" s="1"/>
  <c r="M204" i="10"/>
  <c r="M209"/>
  <c r="N208" s="1"/>
  <c r="M203"/>
  <c r="M208"/>
  <c r="M207"/>
  <c r="S233" i="16"/>
  <c r="M204" i="9"/>
  <c r="N204"/>
  <c r="M207"/>
  <c r="M206"/>
  <c r="C19" i="17"/>
  <c r="J19"/>
  <c r="M203" i="9"/>
  <c r="M205"/>
  <c r="M209"/>
  <c r="M204" i="8"/>
  <c r="N204" s="1"/>
  <c r="M207"/>
  <c r="G193" i="16"/>
  <c r="J163"/>
  <c r="D181"/>
  <c r="J16" i="14"/>
  <c r="D18" i="17" s="1"/>
  <c r="K18" s="1"/>
  <c r="M203" i="8"/>
  <c r="M205"/>
  <c r="M209"/>
  <c r="M203" i="7"/>
  <c r="M207"/>
  <c r="V133" i="16"/>
  <c r="M205" i="7"/>
  <c r="M209"/>
  <c r="M204"/>
  <c r="O204" s="1"/>
  <c r="M202" i="13"/>
  <c r="B23" i="17"/>
  <c r="M205" i="13"/>
  <c r="M209"/>
  <c r="M208"/>
  <c r="N208" s="1"/>
  <c r="M204"/>
  <c r="M207"/>
  <c r="M205" i="12"/>
  <c r="M209"/>
  <c r="M204"/>
  <c r="N204" s="1"/>
  <c r="M208"/>
  <c r="N208"/>
  <c r="M203"/>
  <c r="M205" i="11"/>
  <c r="M209"/>
  <c r="M208"/>
  <c r="N208" s="1"/>
  <c r="M204"/>
  <c r="O204"/>
  <c r="M207"/>
  <c r="M206"/>
  <c r="C21" i="17" s="1"/>
  <c r="J21" s="1"/>
  <c r="M208" i="5"/>
  <c r="N3" i="8"/>
  <c r="N7"/>
  <c r="N11"/>
  <c r="N15"/>
  <c r="N19"/>
  <c r="N23"/>
  <c r="N5" i="11"/>
  <c r="N9"/>
  <c r="N13"/>
  <c r="N17"/>
  <c r="N21"/>
  <c r="N25"/>
  <c r="N29"/>
  <c r="N33"/>
  <c r="N37"/>
  <c r="N41"/>
  <c r="N45"/>
  <c r="N49"/>
  <c r="N5" i="8"/>
  <c r="N9"/>
  <c r="N13"/>
  <c r="N17"/>
  <c r="N21"/>
  <c r="N25"/>
  <c r="N29"/>
  <c r="N33"/>
  <c r="N37"/>
  <c r="N41"/>
  <c r="N45"/>
  <c r="N49"/>
  <c r="N53"/>
  <c r="N57"/>
  <c r="N61"/>
  <c r="N65"/>
  <c r="N69"/>
  <c r="N73"/>
  <c r="N77"/>
  <c r="N81"/>
  <c r="N85"/>
  <c r="N89"/>
  <c r="N93"/>
  <c r="N99"/>
  <c r="N107"/>
  <c r="N115"/>
  <c r="N123"/>
  <c r="N131"/>
  <c r="N139"/>
  <c r="N147"/>
  <c r="N155"/>
  <c r="N163"/>
  <c r="N171"/>
  <c r="N179"/>
  <c r="N187"/>
  <c r="N195"/>
  <c r="N53" i="11"/>
  <c r="N101" i="8"/>
  <c r="N109"/>
  <c r="N117"/>
  <c r="N125"/>
  <c r="N133"/>
  <c r="N141"/>
  <c r="N149"/>
  <c r="N157"/>
  <c r="N165"/>
  <c r="N173"/>
  <c r="N181"/>
  <c r="N189"/>
  <c r="N27"/>
  <c r="N31"/>
  <c r="N35"/>
  <c r="N39"/>
  <c r="N43"/>
  <c r="N47"/>
  <c r="N51"/>
  <c r="N55"/>
  <c r="N59"/>
  <c r="N63"/>
  <c r="N67"/>
  <c r="N71"/>
  <c r="N75"/>
  <c r="N79"/>
  <c r="N83"/>
  <c r="N87"/>
  <c r="N91"/>
  <c r="N95"/>
  <c r="N103"/>
  <c r="N111"/>
  <c r="N119"/>
  <c r="N127"/>
  <c r="N135"/>
  <c r="N143"/>
  <c r="N151"/>
  <c r="N159"/>
  <c r="N167"/>
  <c r="N175"/>
  <c r="N183"/>
  <c r="N191"/>
  <c r="N3" i="11"/>
  <c r="N7"/>
  <c r="N11"/>
  <c r="N15"/>
  <c r="N19"/>
  <c r="N23"/>
  <c r="N27"/>
  <c r="N31"/>
  <c r="N35"/>
  <c r="N39"/>
  <c r="N43"/>
  <c r="N47"/>
  <c r="N51"/>
  <c r="N97" i="8"/>
  <c r="N105"/>
  <c r="N113"/>
  <c r="N121"/>
  <c r="N129"/>
  <c r="N137"/>
  <c r="N145"/>
  <c r="N153"/>
  <c r="N161"/>
  <c r="N169"/>
  <c r="N177"/>
  <c r="N185"/>
  <c r="N193"/>
  <c r="G67" i="16"/>
  <c r="D13" i="14"/>
  <c r="M204" i="5"/>
  <c r="M209"/>
  <c r="N208"/>
  <c r="M203"/>
  <c r="M207"/>
  <c r="M205"/>
  <c r="N4" i="13"/>
  <c r="N6"/>
  <c r="N8"/>
  <c r="N10"/>
  <c r="N12"/>
  <c r="N14"/>
  <c r="N16"/>
  <c r="N18"/>
  <c r="N20"/>
  <c r="N22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N68"/>
  <c r="N70"/>
  <c r="N72"/>
  <c r="N74"/>
  <c r="N76"/>
  <c r="N78"/>
  <c r="N80"/>
  <c r="N82"/>
  <c r="N84"/>
  <c r="N86"/>
  <c r="N88"/>
  <c r="N90"/>
  <c r="N92"/>
  <c r="N94"/>
  <c r="N96"/>
  <c r="N98"/>
  <c r="N100"/>
  <c r="N102"/>
  <c r="N104"/>
  <c r="N106"/>
  <c r="N108"/>
  <c r="N110"/>
  <c r="N112"/>
  <c r="N114"/>
  <c r="N116"/>
  <c r="N118"/>
  <c r="N120"/>
  <c r="N122"/>
  <c r="N124"/>
  <c r="N126"/>
  <c r="N128"/>
  <c r="N130"/>
  <c r="N132"/>
  <c r="N134"/>
  <c r="N136"/>
  <c r="N138"/>
  <c r="N140"/>
  <c r="N142"/>
  <c r="N144"/>
  <c r="N146"/>
  <c r="N148"/>
  <c r="N150"/>
  <c r="N152"/>
  <c r="N154"/>
  <c r="N156"/>
  <c r="N158"/>
  <c r="N160"/>
  <c r="N162"/>
  <c r="N164"/>
  <c r="N166"/>
  <c r="N168"/>
  <c r="N170"/>
  <c r="N172"/>
  <c r="N174"/>
  <c r="N176"/>
  <c r="N178"/>
  <c r="N180"/>
  <c r="N182"/>
  <c r="N184"/>
  <c r="N186"/>
  <c r="N188"/>
  <c r="N190"/>
  <c r="N192"/>
  <c r="N194"/>
  <c r="N196"/>
  <c r="N198"/>
  <c r="N200"/>
  <c r="N3"/>
  <c r="N5"/>
  <c r="N7"/>
  <c r="N9"/>
  <c r="N11"/>
  <c r="N13"/>
  <c r="N15"/>
  <c r="N17"/>
  <c r="N19"/>
  <c r="N21"/>
  <c r="N23"/>
  <c r="N25"/>
  <c r="N27"/>
  <c r="N29"/>
  <c r="N31"/>
  <c r="N33"/>
  <c r="N35"/>
  <c r="N37"/>
  <c r="N39"/>
  <c r="N41"/>
  <c r="N43"/>
  <c r="N45"/>
  <c r="N47"/>
  <c r="N49"/>
  <c r="N51"/>
  <c r="N53"/>
  <c r="N55"/>
  <c r="N57"/>
  <c r="N59"/>
  <c r="N61"/>
  <c r="N63"/>
  <c r="N65"/>
  <c r="N67"/>
  <c r="N69"/>
  <c r="N71"/>
  <c r="N73"/>
  <c r="N75"/>
  <c r="N77"/>
  <c r="N79"/>
  <c r="N81"/>
  <c r="N83"/>
  <c r="N85"/>
  <c r="N87"/>
  <c r="N89"/>
  <c r="N91"/>
  <c r="N93"/>
  <c r="N95"/>
  <c r="N97"/>
  <c r="N99"/>
  <c r="N101"/>
  <c r="N103"/>
  <c r="N105"/>
  <c r="N107"/>
  <c r="N109"/>
  <c r="N111"/>
  <c r="N113"/>
  <c r="N115"/>
  <c r="N117"/>
  <c r="N119"/>
  <c r="N121"/>
  <c r="N123"/>
  <c r="N125"/>
  <c r="N127"/>
  <c r="N129"/>
  <c r="N131"/>
  <c r="N133"/>
  <c r="N135"/>
  <c r="N137"/>
  <c r="N139"/>
  <c r="N141"/>
  <c r="N143"/>
  <c r="N145"/>
  <c r="N147"/>
  <c r="N149"/>
  <c r="N151"/>
  <c r="N153"/>
  <c r="N155"/>
  <c r="N157"/>
  <c r="N159"/>
  <c r="N161"/>
  <c r="N163"/>
  <c r="N165"/>
  <c r="N167"/>
  <c r="N169"/>
  <c r="N171"/>
  <c r="N173"/>
  <c r="N175"/>
  <c r="N177"/>
  <c r="N179"/>
  <c r="N181"/>
  <c r="N183"/>
  <c r="N185"/>
  <c r="N187"/>
  <c r="N189"/>
  <c r="N191"/>
  <c r="N193"/>
  <c r="N195"/>
  <c r="N197"/>
  <c r="N199"/>
  <c r="N4" i="12"/>
  <c r="N6"/>
  <c r="N8"/>
  <c r="N10"/>
  <c r="N12"/>
  <c r="N14"/>
  <c r="N16"/>
  <c r="N18"/>
  <c r="N20"/>
  <c r="N22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N68"/>
  <c r="N70"/>
  <c r="N72"/>
  <c r="N74"/>
  <c r="N76"/>
  <c r="N78"/>
  <c r="N80"/>
  <c r="N82"/>
  <c r="N84"/>
  <c r="N86"/>
  <c r="N88"/>
  <c r="N90"/>
  <c r="N92"/>
  <c r="N94"/>
  <c r="N96"/>
  <c r="N98"/>
  <c r="N100"/>
  <c r="N102"/>
  <c r="N104"/>
  <c r="N106"/>
  <c r="N108"/>
  <c r="N110"/>
  <c r="N112"/>
  <c r="N114"/>
  <c r="N116"/>
  <c r="N118"/>
  <c r="N120"/>
  <c r="N122"/>
  <c r="N124"/>
  <c r="N126"/>
  <c r="N128"/>
  <c r="N130"/>
  <c r="N132"/>
  <c r="N134"/>
  <c r="N136"/>
  <c r="N138"/>
  <c r="N140"/>
  <c r="N142"/>
  <c r="N144"/>
  <c r="N146"/>
  <c r="N148"/>
  <c r="N150"/>
  <c r="N152"/>
  <c r="N154"/>
  <c r="N156"/>
  <c r="N158"/>
  <c r="N160"/>
  <c r="N162"/>
  <c r="N164"/>
  <c r="N166"/>
  <c r="N168"/>
  <c r="N170"/>
  <c r="N172"/>
  <c r="N174"/>
  <c r="N176"/>
  <c r="N178"/>
  <c r="N180"/>
  <c r="N182"/>
  <c r="N184"/>
  <c r="N186"/>
  <c r="N188"/>
  <c r="N190"/>
  <c r="N192"/>
  <c r="N194"/>
  <c r="N196"/>
  <c r="N198"/>
  <c r="N200"/>
  <c r="N3"/>
  <c r="N5"/>
  <c r="N7"/>
  <c r="N9"/>
  <c r="N11"/>
  <c r="N13"/>
  <c r="N15"/>
  <c r="N17"/>
  <c r="N19"/>
  <c r="N21"/>
  <c r="N23"/>
  <c r="N25"/>
  <c r="N27"/>
  <c r="N29"/>
  <c r="N31"/>
  <c r="N33"/>
  <c r="N35"/>
  <c r="N37"/>
  <c r="N39"/>
  <c r="N41"/>
  <c r="N43"/>
  <c r="N45"/>
  <c r="N47"/>
  <c r="N49"/>
  <c r="N51"/>
  <c r="N53"/>
  <c r="N55"/>
  <c r="N57"/>
  <c r="N59"/>
  <c r="N61"/>
  <c r="N63"/>
  <c r="N65"/>
  <c r="N67"/>
  <c r="N69"/>
  <c r="N71"/>
  <c r="N73"/>
  <c r="N75"/>
  <c r="N77"/>
  <c r="N79"/>
  <c r="N81"/>
  <c r="N83"/>
  <c r="N85"/>
  <c r="N87"/>
  <c r="N89"/>
  <c r="N91"/>
  <c r="N93"/>
  <c r="N95"/>
  <c r="N97"/>
  <c r="N99"/>
  <c r="N101"/>
  <c r="N103"/>
  <c r="N105"/>
  <c r="N107"/>
  <c r="N109"/>
  <c r="N111"/>
  <c r="N113"/>
  <c r="N115"/>
  <c r="N117"/>
  <c r="N119"/>
  <c r="N121"/>
  <c r="N123"/>
  <c r="N125"/>
  <c r="N127"/>
  <c r="N129"/>
  <c r="N131"/>
  <c r="N133"/>
  <c r="N135"/>
  <c r="N137"/>
  <c r="N139"/>
  <c r="N141"/>
  <c r="N143"/>
  <c r="N145"/>
  <c r="N147"/>
  <c r="N149"/>
  <c r="N151"/>
  <c r="N153"/>
  <c r="N155"/>
  <c r="N157"/>
  <c r="N159"/>
  <c r="N161"/>
  <c r="N163"/>
  <c r="N165"/>
  <c r="N167"/>
  <c r="N169"/>
  <c r="N171"/>
  <c r="N173"/>
  <c r="N175"/>
  <c r="N177"/>
  <c r="N179"/>
  <c r="N181"/>
  <c r="N183"/>
  <c r="N185"/>
  <c r="N187"/>
  <c r="N189"/>
  <c r="N191"/>
  <c r="N193"/>
  <c r="N195"/>
  <c r="N197"/>
  <c r="N199"/>
  <c r="N4" i="11"/>
  <c r="N6"/>
  <c r="N8"/>
  <c r="N10"/>
  <c r="N12"/>
  <c r="N14"/>
  <c r="N16"/>
  <c r="N18"/>
  <c r="N20"/>
  <c r="N22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N68"/>
  <c r="N70"/>
  <c r="N72"/>
  <c r="N74"/>
  <c r="N76"/>
  <c r="N78"/>
  <c r="N80"/>
  <c r="N82"/>
  <c r="N84"/>
  <c r="N86"/>
  <c r="N88"/>
  <c r="N90"/>
  <c r="N92"/>
  <c r="N94"/>
  <c r="N96"/>
  <c r="N98"/>
  <c r="N100"/>
  <c r="N102"/>
  <c r="N104"/>
  <c r="N106"/>
  <c r="N108"/>
  <c r="N110"/>
  <c r="N112"/>
  <c r="N114"/>
  <c r="N116"/>
  <c r="N118"/>
  <c r="N120"/>
  <c r="N122"/>
  <c r="N124"/>
  <c r="N126"/>
  <c r="N128"/>
  <c r="N130"/>
  <c r="N132"/>
  <c r="N134"/>
  <c r="N136"/>
  <c r="N138"/>
  <c r="N140"/>
  <c r="N142"/>
  <c r="N144"/>
  <c r="N146"/>
  <c r="N148"/>
  <c r="N150"/>
  <c r="N152"/>
  <c r="N154"/>
  <c r="N156"/>
  <c r="N158"/>
  <c r="N160"/>
  <c r="N162"/>
  <c r="N164"/>
  <c r="N166"/>
  <c r="N168"/>
  <c r="N170"/>
  <c r="N172"/>
  <c r="N174"/>
  <c r="N176"/>
  <c r="N178"/>
  <c r="N180"/>
  <c r="N182"/>
  <c r="N184"/>
  <c r="N186"/>
  <c r="N188"/>
  <c r="N190"/>
  <c r="N192"/>
  <c r="N194"/>
  <c r="N196"/>
  <c r="N198"/>
  <c r="N200"/>
  <c r="N55"/>
  <c r="N57"/>
  <c r="N59"/>
  <c r="N61"/>
  <c r="N63"/>
  <c r="N65"/>
  <c r="N67"/>
  <c r="N69"/>
  <c r="N71"/>
  <c r="N73"/>
  <c r="N75"/>
  <c r="N77"/>
  <c r="N79"/>
  <c r="N81"/>
  <c r="N83"/>
  <c r="N85"/>
  <c r="N87"/>
  <c r="N89"/>
  <c r="N91"/>
  <c r="N93"/>
  <c r="N95"/>
  <c r="N97"/>
  <c r="N99"/>
  <c r="N101"/>
  <c r="N103"/>
  <c r="N105"/>
  <c r="N107"/>
  <c r="N109"/>
  <c r="N111"/>
  <c r="N113"/>
  <c r="N115"/>
  <c r="N117"/>
  <c r="N119"/>
  <c r="N121"/>
  <c r="N123"/>
  <c r="N125"/>
  <c r="N127"/>
  <c r="N129"/>
  <c r="N131"/>
  <c r="N133"/>
  <c r="N135"/>
  <c r="N137"/>
  <c r="N139"/>
  <c r="N141"/>
  <c r="N143"/>
  <c r="N145"/>
  <c r="N147"/>
  <c r="N149"/>
  <c r="N151"/>
  <c r="N153"/>
  <c r="N155"/>
  <c r="N157"/>
  <c r="N159"/>
  <c r="N161"/>
  <c r="N163"/>
  <c r="N165"/>
  <c r="N167"/>
  <c r="N169"/>
  <c r="N171"/>
  <c r="N173"/>
  <c r="N175"/>
  <c r="N177"/>
  <c r="N179"/>
  <c r="N181"/>
  <c r="N183"/>
  <c r="N185"/>
  <c r="N187"/>
  <c r="N189"/>
  <c r="N191"/>
  <c r="N193"/>
  <c r="N195"/>
  <c r="N197"/>
  <c r="N199"/>
  <c r="N4" i="10"/>
  <c r="N6"/>
  <c r="N8"/>
  <c r="N10"/>
  <c r="N12"/>
  <c r="N14"/>
  <c r="N16"/>
  <c r="N18"/>
  <c r="N20"/>
  <c r="N22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N68"/>
  <c r="N70"/>
  <c r="N72"/>
  <c r="N74"/>
  <c r="N76"/>
  <c r="N78"/>
  <c r="N80"/>
  <c r="N82"/>
  <c r="N84"/>
  <c r="N86"/>
  <c r="N88"/>
  <c r="N90"/>
  <c r="N92"/>
  <c r="N94"/>
  <c r="N96"/>
  <c r="N98"/>
  <c r="N100"/>
  <c r="N102"/>
  <c r="N104"/>
  <c r="N106"/>
  <c r="N108"/>
  <c r="N110"/>
  <c r="N112"/>
  <c r="N114"/>
  <c r="N116"/>
  <c r="N118"/>
  <c r="N120"/>
  <c r="N122"/>
  <c r="N124"/>
  <c r="N126"/>
  <c r="N128"/>
  <c r="N130"/>
  <c r="N132"/>
  <c r="N134"/>
  <c r="N136"/>
  <c r="N138"/>
  <c r="N140"/>
  <c r="N142"/>
  <c r="N144"/>
  <c r="N146"/>
  <c r="N148"/>
  <c r="N150"/>
  <c r="N152"/>
  <c r="N154"/>
  <c r="N156"/>
  <c r="N158"/>
  <c r="N160"/>
  <c r="N162"/>
  <c r="N164"/>
  <c r="N166"/>
  <c r="N168"/>
  <c r="N170"/>
  <c r="N172"/>
  <c r="N174"/>
  <c r="N176"/>
  <c r="N178"/>
  <c r="N180"/>
  <c r="N182"/>
  <c r="N184"/>
  <c r="N186"/>
  <c r="N188"/>
  <c r="N190"/>
  <c r="N192"/>
  <c r="N194"/>
  <c r="N196"/>
  <c r="N198"/>
  <c r="N200"/>
  <c r="N3"/>
  <c r="N5"/>
  <c r="N7"/>
  <c r="N9"/>
  <c r="N11"/>
  <c r="N13"/>
  <c r="N15"/>
  <c r="N17"/>
  <c r="N19"/>
  <c r="N21"/>
  <c r="N23"/>
  <c r="N25"/>
  <c r="N27"/>
  <c r="N29"/>
  <c r="N31"/>
  <c r="N33"/>
  <c r="N35"/>
  <c r="N37"/>
  <c r="N39"/>
  <c r="N41"/>
  <c r="N43"/>
  <c r="N45"/>
  <c r="N47"/>
  <c r="N49"/>
  <c r="N51"/>
  <c r="N53"/>
  <c r="N55"/>
  <c r="N57"/>
  <c r="N59"/>
  <c r="N61"/>
  <c r="N63"/>
  <c r="N65"/>
  <c r="N67"/>
  <c r="N69"/>
  <c r="N71"/>
  <c r="N73"/>
  <c r="N75"/>
  <c r="N77"/>
  <c r="N79"/>
  <c r="N81"/>
  <c r="N83"/>
  <c r="N85"/>
  <c r="N87"/>
  <c r="N89"/>
  <c r="N91"/>
  <c r="N93"/>
  <c r="N95"/>
  <c r="N97"/>
  <c r="N99"/>
  <c r="N101"/>
  <c r="N103"/>
  <c r="N105"/>
  <c r="N107"/>
  <c r="N109"/>
  <c r="N111"/>
  <c r="N113"/>
  <c r="N115"/>
  <c r="N117"/>
  <c r="N119"/>
  <c r="N121"/>
  <c r="N123"/>
  <c r="N125"/>
  <c r="N127"/>
  <c r="N129"/>
  <c r="N131"/>
  <c r="N133"/>
  <c r="N135"/>
  <c r="N137"/>
  <c r="N139"/>
  <c r="N141"/>
  <c r="N143"/>
  <c r="N145"/>
  <c r="N147"/>
  <c r="N149"/>
  <c r="N151"/>
  <c r="N153"/>
  <c r="N155"/>
  <c r="N157"/>
  <c r="N159"/>
  <c r="N161"/>
  <c r="N163"/>
  <c r="N165"/>
  <c r="N167"/>
  <c r="N169"/>
  <c r="N171"/>
  <c r="N173"/>
  <c r="N175"/>
  <c r="N177"/>
  <c r="N179"/>
  <c r="N181"/>
  <c r="N183"/>
  <c r="N185"/>
  <c r="N187"/>
  <c r="N189"/>
  <c r="N191"/>
  <c r="N193"/>
  <c r="N195"/>
  <c r="N197"/>
  <c r="N199"/>
  <c r="N4" i="9"/>
  <c r="N6"/>
  <c r="N8"/>
  <c r="N10"/>
  <c r="N12"/>
  <c r="N14"/>
  <c r="N16"/>
  <c r="N18"/>
  <c r="N20"/>
  <c r="N22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N68"/>
  <c r="N70"/>
  <c r="N72"/>
  <c r="N74"/>
  <c r="N76"/>
  <c r="N78"/>
  <c r="N80"/>
  <c r="N82"/>
  <c r="N84"/>
  <c r="N86"/>
  <c r="N88"/>
  <c r="N90"/>
  <c r="N92"/>
  <c r="N94"/>
  <c r="N96"/>
  <c r="N98"/>
  <c r="N100"/>
  <c r="N102"/>
  <c r="N104"/>
  <c r="N106"/>
  <c r="N108"/>
  <c r="N110"/>
  <c r="N112"/>
  <c r="N114"/>
  <c r="N116"/>
  <c r="N118"/>
  <c r="N120"/>
  <c r="N122"/>
  <c r="N124"/>
  <c r="N126"/>
  <c r="N128"/>
  <c r="N130"/>
  <c r="N132"/>
  <c r="N134"/>
  <c r="N136"/>
  <c r="N138"/>
  <c r="N140"/>
  <c r="N142"/>
  <c r="N144"/>
  <c r="N146"/>
  <c r="N148"/>
  <c r="N150"/>
  <c r="N152"/>
  <c r="N154"/>
  <c r="N156"/>
  <c r="N158"/>
  <c r="N160"/>
  <c r="N162"/>
  <c r="N164"/>
  <c r="N166"/>
  <c r="N168"/>
  <c r="N170"/>
  <c r="N172"/>
  <c r="N174"/>
  <c r="N176"/>
  <c r="N178"/>
  <c r="N180"/>
  <c r="N182"/>
  <c r="N184"/>
  <c r="N186"/>
  <c r="N188"/>
  <c r="N190"/>
  <c r="N192"/>
  <c r="N194"/>
  <c r="N196"/>
  <c r="N198"/>
  <c r="N200"/>
  <c r="N3"/>
  <c r="N5"/>
  <c r="N7"/>
  <c r="N9"/>
  <c r="N11"/>
  <c r="N13"/>
  <c r="N15"/>
  <c r="N17"/>
  <c r="N19"/>
  <c r="N21"/>
  <c r="N23"/>
  <c r="N25"/>
  <c r="N27"/>
  <c r="N29"/>
  <c r="N31"/>
  <c r="N33"/>
  <c r="N35"/>
  <c r="N37"/>
  <c r="N39"/>
  <c r="N41"/>
  <c r="N43"/>
  <c r="N45"/>
  <c r="N47"/>
  <c r="N49"/>
  <c r="N51"/>
  <c r="N53"/>
  <c r="N55"/>
  <c r="N57"/>
  <c r="N59"/>
  <c r="N61"/>
  <c r="N63"/>
  <c r="N65"/>
  <c r="N67"/>
  <c r="N69"/>
  <c r="N71"/>
  <c r="N73"/>
  <c r="N75"/>
  <c r="N77"/>
  <c r="N79"/>
  <c r="N81"/>
  <c r="N83"/>
  <c r="N85"/>
  <c r="N87"/>
  <c r="N89"/>
  <c r="N91"/>
  <c r="N93"/>
  <c r="N95"/>
  <c r="N97"/>
  <c r="N99"/>
  <c r="N101"/>
  <c r="N103"/>
  <c r="N105"/>
  <c r="N107"/>
  <c r="N109"/>
  <c r="N111"/>
  <c r="N113"/>
  <c r="N115"/>
  <c r="N117"/>
  <c r="N119"/>
  <c r="N121"/>
  <c r="N123"/>
  <c r="N125"/>
  <c r="N127"/>
  <c r="N129"/>
  <c r="N131"/>
  <c r="N133"/>
  <c r="N135"/>
  <c r="N137"/>
  <c r="N139"/>
  <c r="N141"/>
  <c r="N143"/>
  <c r="N145"/>
  <c r="N147"/>
  <c r="N149"/>
  <c r="N151"/>
  <c r="N153"/>
  <c r="N155"/>
  <c r="N157"/>
  <c r="N159"/>
  <c r="N161"/>
  <c r="N163"/>
  <c r="N165"/>
  <c r="N167"/>
  <c r="N169"/>
  <c r="N171"/>
  <c r="N173"/>
  <c r="N175"/>
  <c r="N177"/>
  <c r="N179"/>
  <c r="N181"/>
  <c r="N183"/>
  <c r="N185"/>
  <c r="N187"/>
  <c r="N189"/>
  <c r="N191"/>
  <c r="N193"/>
  <c r="N195"/>
  <c r="N197"/>
  <c r="N199"/>
  <c r="N4" i="8"/>
  <c r="N6"/>
  <c r="N8"/>
  <c r="N10"/>
  <c r="N12"/>
  <c r="N14"/>
  <c r="N16"/>
  <c r="N18"/>
  <c r="N20"/>
  <c r="N22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N68"/>
  <c r="N70"/>
  <c r="N72"/>
  <c r="N74"/>
  <c r="N76"/>
  <c r="N78"/>
  <c r="N80"/>
  <c r="N82"/>
  <c r="N84"/>
  <c r="N86"/>
  <c r="N88"/>
  <c r="N90"/>
  <c r="N92"/>
  <c r="N94"/>
  <c r="N96"/>
  <c r="N98"/>
  <c r="N100"/>
  <c r="N102"/>
  <c r="N104"/>
  <c r="N106"/>
  <c r="N108"/>
  <c r="N110"/>
  <c r="N112"/>
  <c r="N114"/>
  <c r="N116"/>
  <c r="N118"/>
  <c r="N120"/>
  <c r="N122"/>
  <c r="N124"/>
  <c r="N126"/>
  <c r="N128"/>
  <c r="N130"/>
  <c r="N132"/>
  <c r="N134"/>
  <c r="N136"/>
  <c r="N138"/>
  <c r="N140"/>
  <c r="N142"/>
  <c r="N144"/>
  <c r="N146"/>
  <c r="N148"/>
  <c r="N150"/>
  <c r="N152"/>
  <c r="N154"/>
  <c r="N156"/>
  <c r="N158"/>
  <c r="N160"/>
  <c r="N162"/>
  <c r="N164"/>
  <c r="N166"/>
  <c r="N168"/>
  <c r="N170"/>
  <c r="N172"/>
  <c r="N174"/>
  <c r="N176"/>
  <c r="N178"/>
  <c r="N180"/>
  <c r="N182"/>
  <c r="N184"/>
  <c r="N186"/>
  <c r="N188"/>
  <c r="N190"/>
  <c r="N192"/>
  <c r="N194"/>
  <c r="N196"/>
  <c r="N198"/>
  <c r="N200"/>
  <c r="N197"/>
  <c r="N199"/>
  <c r="N4" i="7"/>
  <c r="N6"/>
  <c r="N8"/>
  <c r="N10"/>
  <c r="N12"/>
  <c r="N14"/>
  <c r="N16"/>
  <c r="N18"/>
  <c r="N20"/>
  <c r="N22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N68"/>
  <c r="N70"/>
  <c r="N72"/>
  <c r="N74"/>
  <c r="N76"/>
  <c r="N78"/>
  <c r="N80"/>
  <c r="N82"/>
  <c r="N84"/>
  <c r="N86"/>
  <c r="N88"/>
  <c r="N90"/>
  <c r="N92"/>
  <c r="N94"/>
  <c r="N96"/>
  <c r="N98"/>
  <c r="N100"/>
  <c r="N102"/>
  <c r="N104"/>
  <c r="N106"/>
  <c r="N108"/>
  <c r="N110"/>
  <c r="N112"/>
  <c r="N114"/>
  <c r="N116"/>
  <c r="N118"/>
  <c r="N120"/>
  <c r="N122"/>
  <c r="N124"/>
  <c r="N126"/>
  <c r="N128"/>
  <c r="N130"/>
  <c r="N132"/>
  <c r="N134"/>
  <c r="N136"/>
  <c r="N138"/>
  <c r="N140"/>
  <c r="N142"/>
  <c r="N144"/>
  <c r="N146"/>
  <c r="N148"/>
  <c r="N150"/>
  <c r="N152"/>
  <c r="N154"/>
  <c r="N156"/>
  <c r="N158"/>
  <c r="N160"/>
  <c r="N162"/>
  <c r="N164"/>
  <c r="N166"/>
  <c r="N168"/>
  <c r="N170"/>
  <c r="N172"/>
  <c r="N174"/>
  <c r="N176"/>
  <c r="N178"/>
  <c r="N180"/>
  <c r="N182"/>
  <c r="N184"/>
  <c r="N186"/>
  <c r="N188"/>
  <c r="N190"/>
  <c r="N192"/>
  <c r="N194"/>
  <c r="N196"/>
  <c r="N198"/>
  <c r="N200"/>
  <c r="N3"/>
  <c r="N5"/>
  <c r="N7"/>
  <c r="N9"/>
  <c r="N11"/>
  <c r="N13"/>
  <c r="N15"/>
  <c r="N17"/>
  <c r="N19"/>
  <c r="N21"/>
  <c r="N23"/>
  <c r="N25"/>
  <c r="N27"/>
  <c r="N29"/>
  <c r="N31"/>
  <c r="N33"/>
  <c r="N35"/>
  <c r="N37"/>
  <c r="N39"/>
  <c r="N41"/>
  <c r="N43"/>
  <c r="N45"/>
  <c r="N47"/>
  <c r="N49"/>
  <c r="N51"/>
  <c r="N53"/>
  <c r="N55"/>
  <c r="N57"/>
  <c r="N59"/>
  <c r="N61"/>
  <c r="N63"/>
  <c r="N65"/>
  <c r="N67"/>
  <c r="N69"/>
  <c r="N71"/>
  <c r="N73"/>
  <c r="N75"/>
  <c r="N77"/>
  <c r="N79"/>
  <c r="N81"/>
  <c r="N83"/>
  <c r="N85"/>
  <c r="N87"/>
  <c r="N89"/>
  <c r="N91"/>
  <c r="N93"/>
  <c r="N95"/>
  <c r="N97"/>
  <c r="N99"/>
  <c r="N101"/>
  <c r="N103"/>
  <c r="N105"/>
  <c r="N107"/>
  <c r="N109"/>
  <c r="N111"/>
  <c r="N113"/>
  <c r="N115"/>
  <c r="N117"/>
  <c r="N119"/>
  <c r="N121"/>
  <c r="N123"/>
  <c r="N125"/>
  <c r="N127"/>
  <c r="N129"/>
  <c r="N131"/>
  <c r="N133"/>
  <c r="N135"/>
  <c r="N137"/>
  <c r="N139"/>
  <c r="N141"/>
  <c r="N143"/>
  <c r="N145"/>
  <c r="N147"/>
  <c r="N149"/>
  <c r="N151"/>
  <c r="N153"/>
  <c r="N155"/>
  <c r="N157"/>
  <c r="N159"/>
  <c r="N161"/>
  <c r="N163"/>
  <c r="N165"/>
  <c r="N167"/>
  <c r="N169"/>
  <c r="N171"/>
  <c r="N173"/>
  <c r="N175"/>
  <c r="N177"/>
  <c r="N179"/>
  <c r="N181"/>
  <c r="N183"/>
  <c r="N185"/>
  <c r="N187"/>
  <c r="N189"/>
  <c r="N191"/>
  <c r="N193"/>
  <c r="N195"/>
  <c r="N197"/>
  <c r="N199"/>
  <c r="N4" i="6"/>
  <c r="N6"/>
  <c r="N8"/>
  <c r="N10"/>
  <c r="N12"/>
  <c r="N14"/>
  <c r="N16"/>
  <c r="N18"/>
  <c r="N20"/>
  <c r="N22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N68"/>
  <c r="N70"/>
  <c r="N72"/>
  <c r="N74"/>
  <c r="N76"/>
  <c r="N78"/>
  <c r="N80"/>
  <c r="N82"/>
  <c r="N84"/>
  <c r="N86"/>
  <c r="N88"/>
  <c r="N90"/>
  <c r="N92"/>
  <c r="N94"/>
  <c r="N96"/>
  <c r="N98"/>
  <c r="N100"/>
  <c r="N102"/>
  <c r="N104"/>
  <c r="N106"/>
  <c r="N108"/>
  <c r="N110"/>
  <c r="N112"/>
  <c r="N114"/>
  <c r="N116"/>
  <c r="N118"/>
  <c r="N120"/>
  <c r="N122"/>
  <c r="N124"/>
  <c r="N126"/>
  <c r="N128"/>
  <c r="N130"/>
  <c r="N132"/>
  <c r="N134"/>
  <c r="N136"/>
  <c r="N138"/>
  <c r="N140"/>
  <c r="N142"/>
  <c r="N144"/>
  <c r="N146"/>
  <c r="N148"/>
  <c r="N150"/>
  <c r="N152"/>
  <c r="N154"/>
  <c r="N156"/>
  <c r="N158"/>
  <c r="N160"/>
  <c r="N162"/>
  <c r="N164"/>
  <c r="N166"/>
  <c r="N168"/>
  <c r="N170"/>
  <c r="N172"/>
  <c r="N174"/>
  <c r="N176"/>
  <c r="N178"/>
  <c r="N180"/>
  <c r="N182"/>
  <c r="N184"/>
  <c r="N186"/>
  <c r="N188"/>
  <c r="N190"/>
  <c r="N192"/>
  <c r="N194"/>
  <c r="N196"/>
  <c r="N198"/>
  <c r="N200"/>
  <c r="N3"/>
  <c r="N5"/>
  <c r="N7"/>
  <c r="N9"/>
  <c r="N11"/>
  <c r="N13"/>
  <c r="N15"/>
  <c r="N17"/>
  <c r="N19"/>
  <c r="N21"/>
  <c r="N23"/>
  <c r="N25"/>
  <c r="N27"/>
  <c r="N29"/>
  <c r="N31"/>
  <c r="N33"/>
  <c r="N35"/>
  <c r="N37"/>
  <c r="N39"/>
  <c r="N41"/>
  <c r="N43"/>
  <c r="N45"/>
  <c r="N47"/>
  <c r="N49"/>
  <c r="N51"/>
  <c r="N53"/>
  <c r="N55"/>
  <c r="N57"/>
  <c r="N59"/>
  <c r="N61"/>
  <c r="N63"/>
  <c r="N65"/>
  <c r="N67"/>
  <c r="N69"/>
  <c r="N71"/>
  <c r="N73"/>
  <c r="N75"/>
  <c r="N77"/>
  <c r="N79"/>
  <c r="N81"/>
  <c r="N83"/>
  <c r="N85"/>
  <c r="N87"/>
  <c r="N89"/>
  <c r="N91"/>
  <c r="N93"/>
  <c r="N95"/>
  <c r="N97"/>
  <c r="N99"/>
  <c r="N101"/>
  <c r="N103"/>
  <c r="N105"/>
  <c r="N107"/>
  <c r="N109"/>
  <c r="N111"/>
  <c r="N113"/>
  <c r="N115"/>
  <c r="N117"/>
  <c r="N119"/>
  <c r="N121"/>
  <c r="N123"/>
  <c r="N125"/>
  <c r="N127"/>
  <c r="N129"/>
  <c r="N131"/>
  <c r="N133"/>
  <c r="N135"/>
  <c r="N137"/>
  <c r="N139"/>
  <c r="N141"/>
  <c r="N143"/>
  <c r="N145"/>
  <c r="N147"/>
  <c r="N149"/>
  <c r="N151"/>
  <c r="N153"/>
  <c r="N155"/>
  <c r="N157"/>
  <c r="N159"/>
  <c r="N161"/>
  <c r="N163"/>
  <c r="N165"/>
  <c r="N167"/>
  <c r="N169"/>
  <c r="N171"/>
  <c r="N173"/>
  <c r="N175"/>
  <c r="N177"/>
  <c r="N179"/>
  <c r="N181"/>
  <c r="N183"/>
  <c r="N185"/>
  <c r="N187"/>
  <c r="N189"/>
  <c r="N191"/>
  <c r="N193"/>
  <c r="N195"/>
  <c r="N197"/>
  <c r="N199"/>
  <c r="N4" i="5"/>
  <c r="N6"/>
  <c r="N8"/>
  <c r="N10"/>
  <c r="N12"/>
  <c r="N14"/>
  <c r="N16"/>
  <c r="N18"/>
  <c r="N20"/>
  <c r="N22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N68"/>
  <c r="N70"/>
  <c r="N72"/>
  <c r="N74"/>
  <c r="N76"/>
  <c r="N78"/>
  <c r="N80"/>
  <c r="N82"/>
  <c r="N84"/>
  <c r="N86"/>
  <c r="N88"/>
  <c r="N90"/>
  <c r="N92"/>
  <c r="N94"/>
  <c r="N96"/>
  <c r="N98"/>
  <c r="N100"/>
  <c r="N102"/>
  <c r="N104"/>
  <c r="N106"/>
  <c r="N108"/>
  <c r="N110"/>
  <c r="N112"/>
  <c r="N114"/>
  <c r="N116"/>
  <c r="N118"/>
  <c r="N120"/>
  <c r="N122"/>
  <c r="N124"/>
  <c r="N126"/>
  <c r="N128"/>
  <c r="N130"/>
  <c r="N132"/>
  <c r="N134"/>
  <c r="N136"/>
  <c r="N138"/>
  <c r="N140"/>
  <c r="N142"/>
  <c r="N144"/>
  <c r="N146"/>
  <c r="N148"/>
  <c r="N150"/>
  <c r="N152"/>
  <c r="N154"/>
  <c r="N156"/>
  <c r="N158"/>
  <c r="N160"/>
  <c r="N162"/>
  <c r="N164"/>
  <c r="N166"/>
  <c r="N168"/>
  <c r="N170"/>
  <c r="N172"/>
  <c r="N174"/>
  <c r="N176"/>
  <c r="N178"/>
  <c r="N180"/>
  <c r="N182"/>
  <c r="N184"/>
  <c r="N186"/>
  <c r="N188"/>
  <c r="N190"/>
  <c r="N192"/>
  <c r="N194"/>
  <c r="N196"/>
  <c r="N198"/>
  <c r="N200"/>
  <c r="N3"/>
  <c r="N5"/>
  <c r="N7"/>
  <c r="N9"/>
  <c r="N11"/>
  <c r="N13"/>
  <c r="N15"/>
  <c r="N17"/>
  <c r="N19"/>
  <c r="N21"/>
  <c r="N23"/>
  <c r="N25"/>
  <c r="N27"/>
  <c r="N29"/>
  <c r="N31"/>
  <c r="N33"/>
  <c r="N35"/>
  <c r="N37"/>
  <c r="N39"/>
  <c r="N41"/>
  <c r="N43"/>
  <c r="N45"/>
  <c r="N47"/>
  <c r="N49"/>
  <c r="N51"/>
  <c r="N53"/>
  <c r="N55"/>
  <c r="N57"/>
  <c r="N59"/>
  <c r="N61"/>
  <c r="N63"/>
  <c r="N65"/>
  <c r="N67"/>
  <c r="N69"/>
  <c r="N71"/>
  <c r="N73"/>
  <c r="N75"/>
  <c r="N77"/>
  <c r="N79"/>
  <c r="N81"/>
  <c r="N83"/>
  <c r="N85"/>
  <c r="N87"/>
  <c r="N89"/>
  <c r="N91"/>
  <c r="N93"/>
  <c r="N95"/>
  <c r="N97"/>
  <c r="N99"/>
  <c r="N101"/>
  <c r="N103"/>
  <c r="N105"/>
  <c r="N107"/>
  <c r="N109"/>
  <c r="N111"/>
  <c r="N113"/>
  <c r="N115"/>
  <c r="N117"/>
  <c r="N119"/>
  <c r="N121"/>
  <c r="N123"/>
  <c r="N125"/>
  <c r="N127"/>
  <c r="N129"/>
  <c r="N131"/>
  <c r="N133"/>
  <c r="N135"/>
  <c r="N137"/>
  <c r="N139"/>
  <c r="N141"/>
  <c r="N143"/>
  <c r="N145"/>
  <c r="N147"/>
  <c r="N149"/>
  <c r="N151"/>
  <c r="N153"/>
  <c r="N155"/>
  <c r="N157"/>
  <c r="N159"/>
  <c r="N161"/>
  <c r="N163"/>
  <c r="N165"/>
  <c r="N167"/>
  <c r="N169"/>
  <c r="N171"/>
  <c r="N173"/>
  <c r="N175"/>
  <c r="N177"/>
  <c r="N179"/>
  <c r="N181"/>
  <c r="N183"/>
  <c r="N185"/>
  <c r="N187"/>
  <c r="N189"/>
  <c r="N191"/>
  <c r="N193"/>
  <c r="N195"/>
  <c r="N197"/>
  <c r="N199"/>
  <c r="P204" i="11"/>
  <c r="J283" i="16"/>
  <c r="V229"/>
  <c r="V216"/>
  <c r="V196"/>
  <c r="H36" i="14"/>
  <c r="J36" s="1"/>
  <c r="V192" i="16"/>
  <c r="I1" i="8"/>
  <c r="N18" i="17"/>
  <c r="P95" i="16"/>
  <c r="N15" i="17"/>
  <c r="N7" i="4"/>
  <c r="N6"/>
  <c r="N199"/>
  <c r="N195"/>
  <c r="N191"/>
  <c r="N187"/>
  <c r="N183"/>
  <c r="N179"/>
  <c r="N175"/>
  <c r="N171"/>
  <c r="N167"/>
  <c r="N163"/>
  <c r="N159"/>
  <c r="N155"/>
  <c r="N151"/>
  <c r="N147"/>
  <c r="N143"/>
  <c r="N139"/>
  <c r="N135"/>
  <c r="N131"/>
  <c r="N127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N27"/>
  <c r="N23"/>
  <c r="N19"/>
  <c r="N15"/>
  <c r="N11"/>
  <c r="N4"/>
  <c r="N200"/>
  <c r="N196"/>
  <c r="N192"/>
  <c r="N188"/>
  <c r="N184"/>
  <c r="N180"/>
  <c r="N176"/>
  <c r="N172"/>
  <c r="N168"/>
  <c r="N164"/>
  <c r="N160"/>
  <c r="N156"/>
  <c r="N152"/>
  <c r="N148"/>
  <c r="N144"/>
  <c r="N140"/>
  <c r="N136"/>
  <c r="N132"/>
  <c r="N128"/>
  <c r="N124"/>
  <c r="N120"/>
  <c r="N116"/>
  <c r="N112"/>
  <c r="N108"/>
  <c r="N104"/>
  <c r="N100"/>
  <c r="N96"/>
  <c r="N92"/>
  <c r="N88"/>
  <c r="N84"/>
  <c r="N80"/>
  <c r="N76"/>
  <c r="N72"/>
  <c r="N68"/>
  <c r="N64"/>
  <c r="N60"/>
  <c r="N56"/>
  <c r="N52"/>
  <c r="N48"/>
  <c r="N44"/>
  <c r="N40"/>
  <c r="N36"/>
  <c r="N32"/>
  <c r="N28"/>
  <c r="N24"/>
  <c r="N20"/>
  <c r="N16"/>
  <c r="N12"/>
  <c r="N8"/>
  <c r="N201"/>
  <c r="N197"/>
  <c r="N193"/>
  <c r="N189"/>
  <c r="N185"/>
  <c r="N181"/>
  <c r="N177"/>
  <c r="N173"/>
  <c r="N169"/>
  <c r="N165"/>
  <c r="N161"/>
  <c r="N157"/>
  <c r="N153"/>
  <c r="N149"/>
  <c r="N145"/>
  <c r="N141"/>
  <c r="N137"/>
  <c r="N133"/>
  <c r="N129"/>
  <c r="N125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  <c r="N29"/>
  <c r="N25"/>
  <c r="N21"/>
  <c r="N17"/>
  <c r="N13"/>
  <c r="N9"/>
  <c r="N5"/>
  <c r="N3"/>
  <c r="N198"/>
  <c r="N194"/>
  <c r="N190"/>
  <c r="N186"/>
  <c r="N182"/>
  <c r="N178"/>
  <c r="N174"/>
  <c r="N170"/>
  <c r="N166"/>
  <c r="N162"/>
  <c r="N158"/>
  <c r="N154"/>
  <c r="N150"/>
  <c r="N146"/>
  <c r="N142"/>
  <c r="N138"/>
  <c r="N134"/>
  <c r="N130"/>
  <c r="N126"/>
  <c r="N122"/>
  <c r="N118"/>
  <c r="N114"/>
  <c r="N110"/>
  <c r="N106"/>
  <c r="N102"/>
  <c r="N98"/>
  <c r="N94"/>
  <c r="N90"/>
  <c r="N86"/>
  <c r="N82"/>
  <c r="N78"/>
  <c r="N74"/>
  <c r="N70"/>
  <c r="N66"/>
  <c r="N62"/>
  <c r="N58"/>
  <c r="N54"/>
  <c r="N50"/>
  <c r="N46"/>
  <c r="N42"/>
  <c r="N38"/>
  <c r="N34"/>
  <c r="N30"/>
  <c r="N26"/>
  <c r="N22"/>
  <c r="N18"/>
  <c r="N14"/>
  <c r="E46" i="14"/>
  <c r="D12"/>
  <c r="D22" s="1"/>
  <c r="G24" i="17"/>
  <c r="M204" i="4"/>
  <c r="N204" s="1"/>
  <c r="V30" i="16"/>
  <c r="V366"/>
  <c r="J113"/>
  <c r="V93"/>
  <c r="V112"/>
  <c r="M89"/>
  <c r="M209" i="4"/>
  <c r="M203"/>
  <c r="M208"/>
  <c r="M205"/>
  <c r="G153" i="16"/>
  <c r="S301"/>
  <c r="V318"/>
  <c r="G107"/>
  <c r="S107"/>
  <c r="V180"/>
  <c r="V38"/>
  <c r="D129"/>
  <c r="V337"/>
  <c r="V316"/>
  <c r="V330"/>
  <c r="G341"/>
  <c r="V349"/>
  <c r="V303"/>
  <c r="S363"/>
  <c r="V367"/>
  <c r="G89"/>
  <c r="G119" s="1"/>
  <c r="M363"/>
  <c r="V365"/>
  <c r="D47" i="14"/>
  <c r="D48" s="1"/>
  <c r="I47"/>
  <c r="I48" s="1"/>
  <c r="V155" i="16"/>
  <c r="V142"/>
  <c r="V136"/>
  <c r="P129"/>
  <c r="D307"/>
  <c r="J101"/>
  <c r="P301"/>
  <c r="V189"/>
  <c r="H47" i="14"/>
  <c r="H48" s="1"/>
  <c r="V292" i="16"/>
  <c r="V298"/>
  <c r="M95"/>
  <c r="D55"/>
  <c r="F47" i="14"/>
  <c r="F48" s="1"/>
  <c r="G47"/>
  <c r="G48" s="1"/>
  <c r="V348" i="16"/>
  <c r="V338"/>
  <c r="J323"/>
  <c r="V331"/>
  <c r="V340"/>
  <c r="S335"/>
  <c r="S329"/>
  <c r="M341"/>
  <c r="V326"/>
  <c r="P347"/>
  <c r="J329"/>
  <c r="G329"/>
  <c r="V345"/>
  <c r="D347"/>
  <c r="V355"/>
  <c r="M329"/>
  <c r="P353"/>
  <c r="V333"/>
  <c r="V343"/>
  <c r="V352"/>
  <c r="J347"/>
  <c r="M323"/>
  <c r="V328"/>
  <c r="J353"/>
  <c r="P323"/>
  <c r="M353"/>
  <c r="M359" s="1"/>
  <c r="J20" i="14"/>
  <c r="D22" i="17"/>
  <c r="K22"/>
  <c r="S323" i="16"/>
  <c r="M335"/>
  <c r="P335"/>
  <c r="G335"/>
  <c r="V335" s="1"/>
  <c r="D353"/>
  <c r="V346"/>
  <c r="V350"/>
  <c r="V327"/>
  <c r="D335"/>
  <c r="V325"/>
  <c r="F22" i="14"/>
  <c r="N22" i="17"/>
  <c r="D313" i="16"/>
  <c r="V286"/>
  <c r="V312"/>
  <c r="V308"/>
  <c r="M301"/>
  <c r="P307"/>
  <c r="M295"/>
  <c r="V305"/>
  <c r="V296"/>
  <c r="V310"/>
  <c r="G295"/>
  <c r="V287"/>
  <c r="P313"/>
  <c r="P289"/>
  <c r="S295"/>
  <c r="D283"/>
  <c r="V290"/>
  <c r="V294"/>
  <c r="V300"/>
  <c r="V291"/>
  <c r="V284"/>
  <c r="F21" i="17"/>
  <c r="J289" i="16"/>
  <c r="G301"/>
  <c r="V297"/>
  <c r="M289"/>
  <c r="M283"/>
  <c r="V285"/>
  <c r="D289"/>
  <c r="G313"/>
  <c r="J39" i="14"/>
  <c r="P278" i="16"/>
  <c r="I28" i="1"/>
  <c r="I38" i="14"/>
  <c r="J38" s="1"/>
  <c r="S254" i="16"/>
  <c r="S249" s="1"/>
  <c r="M258"/>
  <c r="G262"/>
  <c r="S264"/>
  <c r="M268"/>
  <c r="G271"/>
  <c r="G267" s="1"/>
  <c r="S274"/>
  <c r="M277"/>
  <c r="P245"/>
  <c r="D252"/>
  <c r="J258"/>
  <c r="J268"/>
  <c r="P244"/>
  <c r="J257"/>
  <c r="D270"/>
  <c r="J251"/>
  <c r="V251" s="1"/>
  <c r="D276"/>
  <c r="S243"/>
  <c r="G254"/>
  <c r="S257"/>
  <c r="S255" s="1"/>
  <c r="M260"/>
  <c r="G264"/>
  <c r="S266"/>
  <c r="M270"/>
  <c r="M267" s="1"/>
  <c r="G274"/>
  <c r="S276"/>
  <c r="J244"/>
  <c r="P250"/>
  <c r="D257"/>
  <c r="J263"/>
  <c r="P276"/>
  <c r="P253"/>
  <c r="J266"/>
  <c r="D245"/>
  <c r="J245"/>
  <c r="D248"/>
  <c r="P251"/>
  <c r="J254"/>
  <c r="D258"/>
  <c r="P260"/>
  <c r="J264"/>
  <c r="D268"/>
  <c r="P270"/>
  <c r="J274"/>
  <c r="D277"/>
  <c r="J246"/>
  <c r="P252"/>
  <c r="D259"/>
  <c r="J265"/>
  <c r="D271"/>
  <c r="J277"/>
  <c r="D266"/>
  <c r="J272"/>
  <c r="D244"/>
  <c r="P246"/>
  <c r="J250"/>
  <c r="D253"/>
  <c r="P256"/>
  <c r="J259"/>
  <c r="D263"/>
  <c r="P265"/>
  <c r="J269"/>
  <c r="D272"/>
  <c r="P275"/>
  <c r="J278"/>
  <c r="D250"/>
  <c r="J256"/>
  <c r="P262"/>
  <c r="D269"/>
  <c r="V269" s="1"/>
  <c r="P274"/>
  <c r="G244"/>
  <c r="P264"/>
  <c r="P271"/>
  <c r="D278"/>
  <c r="V278" s="1"/>
  <c r="D246"/>
  <c r="P248"/>
  <c r="J252"/>
  <c r="D256"/>
  <c r="P258"/>
  <c r="J262"/>
  <c r="D265"/>
  <c r="P268"/>
  <c r="P267"/>
  <c r="J271"/>
  <c r="D275"/>
  <c r="P277"/>
  <c r="P247"/>
  <c r="D254"/>
  <c r="V254" s="1"/>
  <c r="J260"/>
  <c r="P266"/>
  <c r="D274"/>
  <c r="M203"/>
  <c r="V208"/>
  <c r="V218"/>
  <c r="M227"/>
  <c r="V222"/>
  <c r="G232"/>
  <c r="V232" s="1"/>
  <c r="M238"/>
  <c r="P214"/>
  <c r="P209"/>
  <c r="S228"/>
  <c r="V228"/>
  <c r="P204"/>
  <c r="S210"/>
  <c r="V210" s="1"/>
  <c r="G217"/>
  <c r="D224"/>
  <c r="J230"/>
  <c r="P236"/>
  <c r="G207"/>
  <c r="V207" s="1"/>
  <c r="S223"/>
  <c r="V223" s="1"/>
  <c r="G214"/>
  <c r="D226"/>
  <c r="D215"/>
  <c r="S203"/>
  <c r="D209"/>
  <c r="J215"/>
  <c r="M221"/>
  <c r="M213"/>
  <c r="M209"/>
  <c r="S219"/>
  <c r="S215" s="1"/>
  <c r="P226"/>
  <c r="P221"/>
  <c r="D234"/>
  <c r="D233" s="1"/>
  <c r="D239" s="1"/>
  <c r="G204"/>
  <c r="J213"/>
  <c r="G230"/>
  <c r="P206"/>
  <c r="V206"/>
  <c r="P238"/>
  <c r="P219"/>
  <c r="V219" s="1"/>
  <c r="M236"/>
  <c r="M233" s="1"/>
  <c r="P234"/>
  <c r="J232"/>
  <c r="D227"/>
  <c r="S232"/>
  <c r="M220"/>
  <c r="V220" s="1"/>
  <c r="S212"/>
  <c r="V211"/>
  <c r="J233"/>
  <c r="V224"/>
  <c r="V167"/>
  <c r="S169"/>
  <c r="V186"/>
  <c r="V183"/>
  <c r="D175"/>
  <c r="D199" s="1"/>
  <c r="V164"/>
  <c r="F18" i="17" s="1"/>
  <c r="V166" i="16"/>
  <c r="V176"/>
  <c r="G181"/>
  <c r="G163"/>
  <c r="P175"/>
  <c r="V194"/>
  <c r="S181"/>
  <c r="P163"/>
  <c r="V172"/>
  <c r="V190"/>
  <c r="V182"/>
  <c r="M169"/>
  <c r="V168"/>
  <c r="S175"/>
  <c r="V191"/>
  <c r="P181"/>
  <c r="V174"/>
  <c r="M187"/>
  <c r="V171"/>
  <c r="S187"/>
  <c r="G169"/>
  <c r="M181"/>
  <c r="V181" s="1"/>
  <c r="S193"/>
  <c r="V193" s="1"/>
  <c r="V178"/>
  <c r="M163"/>
  <c r="V173"/>
  <c r="V128"/>
  <c r="V126"/>
  <c r="M141"/>
  <c r="J147"/>
  <c r="P135"/>
  <c r="V151"/>
  <c r="V127"/>
  <c r="M147"/>
  <c r="M159" s="1"/>
  <c r="V152"/>
  <c r="G123"/>
  <c r="V132"/>
  <c r="S123"/>
  <c r="V117"/>
  <c r="H28" i="14"/>
  <c r="D95" i="16"/>
  <c r="P107"/>
  <c r="V68"/>
  <c r="V70"/>
  <c r="P55"/>
  <c r="G61"/>
  <c r="P43"/>
  <c r="V59"/>
  <c r="D67"/>
  <c r="V56"/>
  <c r="M129"/>
  <c r="V157"/>
  <c r="V137"/>
  <c r="V144"/>
  <c r="S135"/>
  <c r="V146"/>
  <c r="V134"/>
  <c r="S153"/>
  <c r="V138"/>
  <c r="S129"/>
  <c r="D124"/>
  <c r="V124" s="1"/>
  <c r="F17" i="17" s="1"/>
  <c r="P204" i="7"/>
  <c r="D141" i="16"/>
  <c r="J15" i="14"/>
  <c r="D17" i="17"/>
  <c r="K17"/>
  <c r="P141" i="16"/>
  <c r="V139"/>
  <c r="E22" i="14"/>
  <c r="V156" i="16"/>
  <c r="V131"/>
  <c r="V154"/>
  <c r="V150"/>
  <c r="S141"/>
  <c r="V125"/>
  <c r="J135"/>
  <c r="P123"/>
  <c r="S147"/>
  <c r="S159" s="1"/>
  <c r="D147"/>
  <c r="V158"/>
  <c r="D135"/>
  <c r="V135" s="1"/>
  <c r="D107"/>
  <c r="V87"/>
  <c r="V92"/>
  <c r="V96"/>
  <c r="P113"/>
  <c r="V111"/>
  <c r="V109"/>
  <c r="V114"/>
  <c r="V106"/>
  <c r="V90"/>
  <c r="V116"/>
  <c r="D113"/>
  <c r="M107"/>
  <c r="V108"/>
  <c r="D101"/>
  <c r="V101" s="1"/>
  <c r="V85"/>
  <c r="P89"/>
  <c r="P119" s="1"/>
  <c r="V84"/>
  <c r="F16" i="17"/>
  <c r="V91" i="16"/>
  <c r="S89"/>
  <c r="V99"/>
  <c r="J14" i="14"/>
  <c r="D16" i="17"/>
  <c r="K16" s="1"/>
  <c r="J95" i="16"/>
  <c r="V95"/>
  <c r="V88"/>
  <c r="J48"/>
  <c r="J43"/>
  <c r="O208" i="5"/>
  <c r="S49" i="16"/>
  <c r="M49"/>
  <c r="M55"/>
  <c r="V69"/>
  <c r="V57"/>
  <c r="M44"/>
  <c r="M43"/>
  <c r="S58"/>
  <c r="S55" s="1"/>
  <c r="M71"/>
  <c r="V71"/>
  <c r="D52"/>
  <c r="D49" s="1"/>
  <c r="S44"/>
  <c r="V44"/>
  <c r="F15" i="17"/>
  <c r="G60" i="16"/>
  <c r="V60" s="1"/>
  <c r="S72"/>
  <c r="S67"/>
  <c r="P50"/>
  <c r="P49"/>
  <c r="J63"/>
  <c r="J61" s="1"/>
  <c r="D76"/>
  <c r="D73" s="1"/>
  <c r="D79" s="1"/>
  <c r="P64"/>
  <c r="P61" s="1"/>
  <c r="P204" i="5"/>
  <c r="S73" i="16"/>
  <c r="V65"/>
  <c r="S48"/>
  <c r="V48"/>
  <c r="M62"/>
  <c r="M61"/>
  <c r="G75"/>
  <c r="V75" s="1"/>
  <c r="J58"/>
  <c r="G51"/>
  <c r="S63"/>
  <c r="S61" s="1"/>
  <c r="M76"/>
  <c r="M73"/>
  <c r="J53"/>
  <c r="V53" s="1"/>
  <c r="D66"/>
  <c r="D61" s="1"/>
  <c r="V61" s="1"/>
  <c r="V66"/>
  <c r="P78"/>
  <c r="P74"/>
  <c r="V74"/>
  <c r="G55"/>
  <c r="I23" i="1"/>
  <c r="G43" i="16"/>
  <c r="J67"/>
  <c r="J77"/>
  <c r="V77" s="1"/>
  <c r="V47"/>
  <c r="V46"/>
  <c r="V54"/>
  <c r="D62"/>
  <c r="E26" i="14"/>
  <c r="E28" s="1"/>
  <c r="F28"/>
  <c r="G363" i="16"/>
  <c r="G399" s="1"/>
  <c r="G22" i="14"/>
  <c r="J399" i="16"/>
  <c r="V379"/>
  <c r="J41" i="14"/>
  <c r="V364" i="16"/>
  <c r="F23" i="17" s="1"/>
  <c r="V393" i="16"/>
  <c r="J21" i="14"/>
  <c r="D23" i="17"/>
  <c r="K23" s="1"/>
  <c r="V383" i="16"/>
  <c r="V388"/>
  <c r="G42" i="14"/>
  <c r="G28"/>
  <c r="I28"/>
  <c r="E47"/>
  <c r="G27" i="16"/>
  <c r="V12"/>
  <c r="M207" i="4"/>
  <c r="G147" i="16"/>
  <c r="V147" s="1"/>
  <c r="G135"/>
  <c r="J129"/>
  <c r="V129"/>
  <c r="J159"/>
  <c r="H22" i="14"/>
  <c r="V16" i="16"/>
  <c r="P153"/>
  <c r="V153"/>
  <c r="P159"/>
  <c r="V13"/>
  <c r="M123"/>
  <c r="V143"/>
  <c r="V375"/>
  <c r="V247"/>
  <c r="S399"/>
  <c r="M67"/>
  <c r="V67" s="1"/>
  <c r="M273"/>
  <c r="M399"/>
  <c r="D399"/>
  <c r="V399" s="1"/>
  <c r="J227"/>
  <c r="J239" s="1"/>
  <c r="V204"/>
  <c r="F19" i="17" s="1"/>
  <c r="J261" i="16"/>
  <c r="G273"/>
  <c r="V260"/>
  <c r="V264"/>
  <c r="V253"/>
  <c r="G243"/>
  <c r="V272"/>
  <c r="G249"/>
  <c r="N204" i="11"/>
  <c r="M202"/>
  <c r="B21" i="17"/>
  <c r="J319" i="16"/>
  <c r="S273"/>
  <c r="N204" i="10"/>
  <c r="V301" i="16"/>
  <c r="O208" i="10"/>
  <c r="J18" i="14"/>
  <c r="D20" i="17" s="1"/>
  <c r="K20" s="1"/>
  <c r="V213" i="16"/>
  <c r="P208" i="7"/>
  <c r="M206"/>
  <c r="C17" i="17"/>
  <c r="J17" s="1"/>
  <c r="M202" i="7"/>
  <c r="B17" i="17"/>
  <c r="N204" i="7"/>
  <c r="N204" i="13"/>
  <c r="V313" i="16"/>
  <c r="V307"/>
  <c r="E15" i="17"/>
  <c r="J13" i="14"/>
  <c r="D15" i="17"/>
  <c r="K15"/>
  <c r="D27" i="14"/>
  <c r="O204" i="5"/>
  <c r="P208"/>
  <c r="M206"/>
  <c r="C15" i="17" s="1"/>
  <c r="J15" s="1"/>
  <c r="N204" i="5"/>
  <c r="M202"/>
  <c r="B15" i="17" s="1"/>
  <c r="O208" i="11"/>
  <c r="P208"/>
  <c r="V265" i="16"/>
  <c r="D26" i="14"/>
  <c r="V107" i="16"/>
  <c r="V275"/>
  <c r="J273"/>
  <c r="V295"/>
  <c r="V276"/>
  <c r="D255"/>
  <c r="V259"/>
  <c r="V63"/>
  <c r="O208" i="12"/>
  <c r="P208"/>
  <c r="V353" i="16"/>
  <c r="J359"/>
  <c r="O204" i="12"/>
  <c r="P204"/>
  <c r="P359" i="16"/>
  <c r="M319"/>
  <c r="S319"/>
  <c r="V289"/>
  <c r="G319"/>
  <c r="V319" s="1"/>
  <c r="D319"/>
  <c r="V270"/>
  <c r="V271"/>
  <c r="V246"/>
  <c r="P208" i="10"/>
  <c r="G261" i="16"/>
  <c r="G279"/>
  <c r="P204" i="10"/>
  <c r="O204"/>
  <c r="J267" i="16"/>
  <c r="S261"/>
  <c r="V261" s="1"/>
  <c r="V266"/>
  <c r="M255"/>
  <c r="M279" s="1"/>
  <c r="J243"/>
  <c r="V258"/>
  <c r="P273"/>
  <c r="P279" s="1"/>
  <c r="D243"/>
  <c r="V244"/>
  <c r="F20" i="17"/>
  <c r="V248" i="16"/>
  <c r="V274"/>
  <c r="D273"/>
  <c r="P249"/>
  <c r="J255"/>
  <c r="V255" s="1"/>
  <c r="P243"/>
  <c r="V262"/>
  <c r="V277"/>
  <c r="V250"/>
  <c r="V263"/>
  <c r="D261"/>
  <c r="D267"/>
  <c r="V268"/>
  <c r="V256"/>
  <c r="P261"/>
  <c r="J249"/>
  <c r="P215"/>
  <c r="V234"/>
  <c r="V214"/>
  <c r="P233"/>
  <c r="P239" s="1"/>
  <c r="G203"/>
  <c r="D221"/>
  <c r="G209"/>
  <c r="J209"/>
  <c r="P203"/>
  <c r="S221"/>
  <c r="G227"/>
  <c r="V227" s="1"/>
  <c r="P204" i="9"/>
  <c r="O204"/>
  <c r="P208"/>
  <c r="S227" i="16"/>
  <c r="V212"/>
  <c r="S209"/>
  <c r="M215"/>
  <c r="V163"/>
  <c r="M18" i="17" s="1"/>
  <c r="O18"/>
  <c r="V169" i="16"/>
  <c r="P208" i="8"/>
  <c r="P204"/>
  <c r="O204"/>
  <c r="V72" i="16"/>
  <c r="D123"/>
  <c r="V123"/>
  <c r="M17" i="17"/>
  <c r="O17" s="1"/>
  <c r="V89" i="16"/>
  <c r="J49"/>
  <c r="G73"/>
  <c r="V76"/>
  <c r="J55"/>
  <c r="V55" s="1"/>
  <c r="V62"/>
  <c r="O204" i="13"/>
  <c r="P204"/>
  <c r="O208"/>
  <c r="P208"/>
  <c r="M202" i="12"/>
  <c r="B22" i="17" s="1"/>
  <c r="M202" i="10"/>
  <c r="B20" i="17"/>
  <c r="M206" i="10"/>
  <c r="C20" i="17" s="1"/>
  <c r="J20"/>
  <c r="M202" i="9"/>
  <c r="B19" i="17"/>
  <c r="M202" i="8"/>
  <c r="B18" i="17"/>
  <c r="M199" i="16"/>
  <c r="S43"/>
  <c r="V43" s="1"/>
  <c r="M15" i="17" s="1"/>
  <c r="O15" s="1"/>
  <c r="D45" i="16"/>
  <c r="D43" s="1"/>
  <c r="G27" i="17"/>
  <c r="V341" i="16"/>
  <c r="D359"/>
  <c r="V283"/>
  <c r="M21" i="17" s="1"/>
  <c r="O21" s="1"/>
  <c r="V257" i="16"/>
  <c r="P255"/>
  <c r="V273"/>
  <c r="D249"/>
  <c r="V249"/>
  <c r="J203"/>
  <c r="V203" s="1"/>
  <c r="M19" i="17" s="1"/>
  <c r="O19" s="1"/>
  <c r="V236" i="16"/>
  <c r="V226"/>
  <c r="V187"/>
  <c r="G199"/>
  <c r="V83"/>
  <c r="M16" i="17"/>
  <c r="O16" s="1"/>
  <c r="M204" i="6"/>
  <c r="M205"/>
  <c r="O204"/>
  <c r="M209"/>
  <c r="M203"/>
  <c r="M207"/>
  <c r="P208"/>
  <c r="G159" i="16"/>
  <c r="V159" s="1"/>
  <c r="V18"/>
  <c r="P15"/>
  <c r="V24"/>
  <c r="P9"/>
  <c r="V31"/>
  <c r="S27"/>
  <c r="I6" i="14" s="1"/>
  <c r="S33" i="16"/>
  <c r="I7" i="14" s="1"/>
  <c r="E42"/>
  <c r="V23" i="16"/>
  <c r="S21"/>
  <c r="V36"/>
  <c r="V20"/>
  <c r="M21"/>
  <c r="D21"/>
  <c r="D5" i="14" s="1"/>
  <c r="V28" i="16"/>
  <c r="V8"/>
  <c r="V22"/>
  <c r="M9"/>
  <c r="G3" i="14" s="1"/>
  <c r="M27" i="16"/>
  <c r="G6" i="14" s="1"/>
  <c r="V7" i="16"/>
  <c r="G15"/>
  <c r="D27"/>
  <c r="E14" i="17"/>
  <c r="E24" s="1"/>
  <c r="S9" i="16"/>
  <c r="V14"/>
  <c r="V221"/>
  <c r="G49"/>
  <c r="V51"/>
  <c r="V45"/>
  <c r="V78"/>
  <c r="P73"/>
  <c r="P79" s="1"/>
  <c r="N204" i="6"/>
  <c r="V209" i="16"/>
  <c r="D279"/>
  <c r="J279"/>
  <c r="D159"/>
  <c r="V64"/>
  <c r="V52"/>
  <c r="P199"/>
  <c r="V199"/>
  <c r="G215"/>
  <c r="V215" s="1"/>
  <c r="V217"/>
  <c r="V238"/>
  <c r="V252"/>
  <c r="V329"/>
  <c r="S359"/>
  <c r="D7" i="14"/>
  <c r="O208" i="7"/>
  <c r="N208"/>
  <c r="D119" i="16"/>
  <c r="V113"/>
  <c r="M206" i="8"/>
  <c r="C18" i="17"/>
  <c r="J18"/>
  <c r="I26" i="1"/>
  <c r="G2" i="14"/>
  <c r="N208" i="9"/>
  <c r="O208"/>
  <c r="P204" i="6"/>
  <c r="V50" i="16"/>
  <c r="S239"/>
  <c r="V58"/>
  <c r="V243"/>
  <c r="M20" i="17"/>
  <c r="O20" s="1"/>
  <c r="V230" i="16"/>
  <c r="V245"/>
  <c r="G323"/>
  <c r="G359" s="1"/>
  <c r="V359" s="1"/>
  <c r="S119"/>
  <c r="V119" s="1"/>
  <c r="G7" i="14"/>
  <c r="P33" i="16"/>
  <c r="H7" i="14" s="1"/>
  <c r="V323" i="16"/>
  <c r="M22" i="17" s="1"/>
  <c r="O22" s="1"/>
  <c r="G239" i="16"/>
  <c r="E3" i="14"/>
  <c r="V49" i="16"/>
  <c r="G79"/>
  <c r="J46" i="14" l="1"/>
  <c r="S3" i="16"/>
  <c r="V32"/>
  <c r="V10"/>
  <c r="M202" i="4"/>
  <c r="B14" i="17" s="1"/>
  <c r="H42" i="14"/>
  <c r="J12"/>
  <c r="D14" i="17" s="1"/>
  <c r="D24" s="1"/>
  <c r="P204" i="4"/>
  <c r="M206"/>
  <c r="C14" i="17" s="1"/>
  <c r="J14" s="1"/>
  <c r="E48" i="14"/>
  <c r="O208" i="4"/>
  <c r="J22" i="14"/>
  <c r="G28" i="17"/>
  <c r="J48" i="14"/>
  <c r="O204" i="4"/>
  <c r="V21" i="16"/>
  <c r="M39"/>
  <c r="J26" i="14"/>
  <c r="N208" i="4"/>
  <c r="V25" i="16"/>
  <c r="V9"/>
  <c r="F42" i="14"/>
  <c r="N14" i="17"/>
  <c r="N24" s="1"/>
  <c r="J27" i="16"/>
  <c r="S15"/>
  <c r="I4" i="14" s="1"/>
  <c r="V19" i="16"/>
  <c r="D42" i="14"/>
  <c r="I42"/>
  <c r="F24" i="17"/>
  <c r="J47" i="14"/>
  <c r="V37" i="16"/>
  <c r="P208" i="4"/>
  <c r="J3" i="16"/>
  <c r="F2" i="14" s="1"/>
  <c r="I5"/>
  <c r="V35" i="16"/>
  <c r="I3" i="14"/>
  <c r="G39" i="16"/>
  <c r="D6" i="14"/>
  <c r="D8" s="1"/>
  <c r="V17" i="16"/>
  <c r="P39"/>
  <c r="J33" i="14"/>
  <c r="V279" i="16"/>
  <c r="K14" i="17"/>
  <c r="D39" i="16"/>
  <c r="E2" i="14"/>
  <c r="V33" i="16"/>
  <c r="E4" i="14"/>
  <c r="F6"/>
  <c r="M79" i="16"/>
  <c r="S279"/>
  <c r="J73"/>
  <c r="G5" i="14"/>
  <c r="G8" s="1"/>
  <c r="H3"/>
  <c r="H4"/>
  <c r="V363" i="16"/>
  <c r="M23" i="17" s="1"/>
  <c r="O23" s="1"/>
  <c r="V267" i="16"/>
  <c r="E6" i="14"/>
  <c r="S79" i="16"/>
  <c r="V141"/>
  <c r="L24" i="17"/>
  <c r="I2" i="14"/>
  <c r="O208" i="6"/>
  <c r="N208"/>
  <c r="V233" i="16"/>
  <c r="J27" i="14"/>
  <c r="D28"/>
  <c r="J28" s="1"/>
  <c r="M239" i="16"/>
  <c r="V239" s="1"/>
  <c r="O208" i="8"/>
  <c r="N208"/>
  <c r="V3" i="16" l="1"/>
  <c r="M14" i="17" s="1"/>
  <c r="O14" s="1"/>
  <c r="O24" s="1"/>
  <c r="V15" i="16"/>
  <c r="J39"/>
  <c r="I8" i="14"/>
  <c r="J3"/>
  <c r="S39" i="16"/>
  <c r="V27"/>
  <c r="J42" i="14"/>
  <c r="J4"/>
  <c r="H8"/>
  <c r="J6"/>
  <c r="V73" i="16"/>
  <c r="J79"/>
  <c r="V79" s="1"/>
  <c r="F7" i="14"/>
  <c r="J7" s="1"/>
  <c r="F3" i="17"/>
  <c r="F5"/>
  <c r="F4"/>
  <c r="J5" i="14"/>
  <c r="J2"/>
  <c r="E8"/>
  <c r="M24" i="17" l="1"/>
  <c r="V39" i="16"/>
  <c r="J8" i="14"/>
  <c r="F8"/>
</calcChain>
</file>

<file path=xl/sharedStrings.xml><?xml version="1.0" encoding="utf-8"?>
<sst xmlns="http://schemas.openxmlformats.org/spreadsheetml/2006/main" count="1986" uniqueCount="652">
  <si>
    <t>Justification of the Budget</t>
  </si>
  <si>
    <t>Date of Approval</t>
  </si>
  <si>
    <t>MIS Code</t>
  </si>
  <si>
    <t>Version of JoB</t>
  </si>
  <si>
    <t>Project title:</t>
  </si>
  <si>
    <t>Project acronym:</t>
  </si>
  <si>
    <t>PP2</t>
  </si>
  <si>
    <t>PP3</t>
  </si>
  <si>
    <t>PP4</t>
  </si>
  <si>
    <t>PP5</t>
  </si>
  <si>
    <t>PP6</t>
  </si>
  <si>
    <t>PP7</t>
  </si>
  <si>
    <t>PP8</t>
  </si>
  <si>
    <t>PP9</t>
  </si>
  <si>
    <t>PP10</t>
  </si>
  <si>
    <t>Partner title</t>
  </si>
  <si>
    <t>Country</t>
  </si>
  <si>
    <t>Budget</t>
  </si>
  <si>
    <t>Greece</t>
  </si>
  <si>
    <t>Total Project budget</t>
  </si>
  <si>
    <t>LP (PP1)</t>
  </si>
  <si>
    <t>WP</t>
  </si>
  <si>
    <t>Budget line</t>
  </si>
  <si>
    <t>Staff Costs</t>
  </si>
  <si>
    <t>Office and Administration</t>
  </si>
  <si>
    <t>External Expertise and Services</t>
  </si>
  <si>
    <t>Equipment</t>
  </si>
  <si>
    <t>WP1</t>
  </si>
  <si>
    <t>WP2</t>
  </si>
  <si>
    <t>WP3</t>
  </si>
  <si>
    <t>WP4</t>
  </si>
  <si>
    <t>WP5</t>
  </si>
  <si>
    <t>WP6</t>
  </si>
  <si>
    <t>D1.1.1</t>
  </si>
  <si>
    <t>D1.1.2</t>
  </si>
  <si>
    <t>D1.1.3</t>
  </si>
  <si>
    <t>D1.1.4</t>
  </si>
  <si>
    <t>D1.1.5</t>
  </si>
  <si>
    <t xml:space="preserve">D2.1.1 </t>
  </si>
  <si>
    <t>D2.1.2</t>
  </si>
  <si>
    <t>D2.1.3</t>
  </si>
  <si>
    <t>D2.1.4</t>
  </si>
  <si>
    <t>D2.1.5</t>
  </si>
  <si>
    <t xml:space="preserve">D3.1.1 </t>
  </si>
  <si>
    <t>D3.1.2</t>
  </si>
  <si>
    <t>D3.1.3</t>
  </si>
  <si>
    <t>D3.1.4</t>
  </si>
  <si>
    <t>D3.1.5</t>
  </si>
  <si>
    <t xml:space="preserve">D4.1.1 </t>
  </si>
  <si>
    <t>D4.1.2</t>
  </si>
  <si>
    <t>D4.1.3</t>
  </si>
  <si>
    <t>D4.1.4</t>
  </si>
  <si>
    <t>D4.1.5</t>
  </si>
  <si>
    <t xml:space="preserve">D5.1.1 </t>
  </si>
  <si>
    <t>D5.1.2</t>
  </si>
  <si>
    <t>D5.1.3</t>
  </si>
  <si>
    <t>D5.1.4</t>
  </si>
  <si>
    <t>D5.1.5</t>
  </si>
  <si>
    <t xml:space="preserve">D6.1.1 </t>
  </si>
  <si>
    <t>D6.1.2</t>
  </si>
  <si>
    <t>D6.1.3</t>
  </si>
  <si>
    <t>D6.1.4</t>
  </si>
  <si>
    <t>D6.1.5</t>
  </si>
  <si>
    <t>Del.</t>
  </si>
  <si>
    <t>Staff_Costs</t>
  </si>
  <si>
    <t>Accommodation</t>
  </si>
  <si>
    <t>Daily Allowance</t>
  </si>
  <si>
    <t>Event organisation</t>
  </si>
  <si>
    <t>Communication/Dissemination material</t>
  </si>
  <si>
    <t>Infrastructure designs</t>
  </si>
  <si>
    <t>Supervision of construction works</t>
  </si>
  <si>
    <t>Elaboration of detailed design of works</t>
  </si>
  <si>
    <t>Works</t>
  </si>
  <si>
    <t>Supervision of works</t>
  </si>
  <si>
    <t>D1.2.1</t>
  </si>
  <si>
    <t xml:space="preserve">D2.2.1 </t>
  </si>
  <si>
    <t xml:space="preserve">D3.2.1 </t>
  </si>
  <si>
    <t xml:space="preserve">D4.2.1 </t>
  </si>
  <si>
    <t xml:space="preserve">D5.2.1 </t>
  </si>
  <si>
    <t xml:space="preserve">D6.2.1 </t>
  </si>
  <si>
    <t>D1.2.2</t>
  </si>
  <si>
    <t>D2.2.2</t>
  </si>
  <si>
    <t>D3.2.2</t>
  </si>
  <si>
    <t>D4.2.2</t>
  </si>
  <si>
    <t>D5.2.2</t>
  </si>
  <si>
    <t>D6.2.2</t>
  </si>
  <si>
    <t>D1.2.3</t>
  </si>
  <si>
    <t>D2.2.3</t>
  </si>
  <si>
    <t>D3.2.3</t>
  </si>
  <si>
    <t>D4.2.3</t>
  </si>
  <si>
    <t>D5.2.3</t>
  </si>
  <si>
    <t>D6.2.3</t>
  </si>
  <si>
    <t>D1.2.4</t>
  </si>
  <si>
    <t>D2.2.4</t>
  </si>
  <si>
    <t>D3.2.4</t>
  </si>
  <si>
    <t>D4.2.4</t>
  </si>
  <si>
    <t>D5.2.4</t>
  </si>
  <si>
    <t>D6.2.4</t>
  </si>
  <si>
    <t>D1.2.5</t>
  </si>
  <si>
    <t>D2.2.5</t>
  </si>
  <si>
    <t>D3.2.5</t>
  </si>
  <si>
    <t>D4.2.5</t>
  </si>
  <si>
    <t>D5.2.5</t>
  </si>
  <si>
    <t>D6.2.5</t>
  </si>
  <si>
    <t>D1.3.1</t>
  </si>
  <si>
    <t xml:space="preserve">D2.3.1 </t>
  </si>
  <si>
    <t xml:space="preserve">D3.3.1 </t>
  </si>
  <si>
    <t xml:space="preserve">D4.3.1 </t>
  </si>
  <si>
    <t xml:space="preserve">D5.3.1 </t>
  </si>
  <si>
    <t xml:space="preserve">D6.3.1 </t>
  </si>
  <si>
    <t>D1.3.2</t>
  </si>
  <si>
    <t>D2.3.2</t>
  </si>
  <si>
    <t>D3.3.2</t>
  </si>
  <si>
    <t>D4.3.2</t>
  </si>
  <si>
    <t>D5.3.2</t>
  </si>
  <si>
    <t>D6.3.2</t>
  </si>
  <si>
    <t>D1.3.3</t>
  </si>
  <si>
    <t>D2.3.3</t>
  </si>
  <si>
    <t>D3.3.3</t>
  </si>
  <si>
    <t>D4.3.3</t>
  </si>
  <si>
    <t>D5.3.3</t>
  </si>
  <si>
    <t>D6.3.3</t>
  </si>
  <si>
    <t>D1.3.4</t>
  </si>
  <si>
    <t>D2.3.4</t>
  </si>
  <si>
    <t>D3.3.4</t>
  </si>
  <si>
    <t>D4.3.4</t>
  </si>
  <si>
    <t>D5.3.4</t>
  </si>
  <si>
    <t>D6.3.4</t>
  </si>
  <si>
    <t>D1.3.5</t>
  </si>
  <si>
    <t>D2.3.5</t>
  </si>
  <si>
    <t>D3.3.5</t>
  </si>
  <si>
    <t>D4.3.5</t>
  </si>
  <si>
    <t>D5.3.5</t>
  </si>
  <si>
    <t>D6.3.5</t>
  </si>
  <si>
    <t>P2WP1</t>
  </si>
  <si>
    <t>P2WP2</t>
  </si>
  <si>
    <t>P2WP3</t>
  </si>
  <si>
    <t>P2WP4</t>
  </si>
  <si>
    <t>P2WP5</t>
  </si>
  <si>
    <t>P2WP6</t>
  </si>
  <si>
    <t>P1WP1</t>
  </si>
  <si>
    <t>P1WP2</t>
  </si>
  <si>
    <t>P1WP3</t>
  </si>
  <si>
    <t>P1WP4</t>
  </si>
  <si>
    <t>P1WP5</t>
  </si>
  <si>
    <t>P1WP6</t>
  </si>
  <si>
    <t>P3WP1</t>
  </si>
  <si>
    <t>P3WP2</t>
  </si>
  <si>
    <t>P3WP3</t>
  </si>
  <si>
    <t>P3WP4</t>
  </si>
  <si>
    <t>P3WP5</t>
  </si>
  <si>
    <t>P3WP6</t>
  </si>
  <si>
    <t>D1.4.1</t>
  </si>
  <si>
    <t xml:space="preserve">D2.4.1 </t>
  </si>
  <si>
    <t xml:space="preserve">D3.4.1 </t>
  </si>
  <si>
    <t xml:space="preserve">D4.4.1 </t>
  </si>
  <si>
    <t xml:space="preserve">D5.4.1 </t>
  </si>
  <si>
    <t xml:space="preserve">D6.4.1 </t>
  </si>
  <si>
    <t>D1.4.2</t>
  </si>
  <si>
    <t>D2.4.2</t>
  </si>
  <si>
    <t>D3.4.2</t>
  </si>
  <si>
    <t>D4.4.2</t>
  </si>
  <si>
    <t>D5.4.2</t>
  </si>
  <si>
    <t>D6.4.2</t>
  </si>
  <si>
    <t>D1.4.3</t>
  </si>
  <si>
    <t>D2.4.3</t>
  </si>
  <si>
    <t>D3.4.3</t>
  </si>
  <si>
    <t>D4.4.3</t>
  </si>
  <si>
    <t>D5.4.3</t>
  </si>
  <si>
    <t>D6.4.3</t>
  </si>
  <si>
    <t>D1.4.4</t>
  </si>
  <si>
    <t>D2.4.4</t>
  </si>
  <si>
    <t>D3.4.4</t>
  </si>
  <si>
    <t>D4.4.4</t>
  </si>
  <si>
    <t>D5.4.4</t>
  </si>
  <si>
    <t>D6.4.4</t>
  </si>
  <si>
    <t>D1.4.5</t>
  </si>
  <si>
    <t>D2.4.5</t>
  </si>
  <si>
    <t>D3.4.5</t>
  </si>
  <si>
    <t>D4.4.5</t>
  </si>
  <si>
    <t>D5.4.5</t>
  </si>
  <si>
    <t>D6.4.5</t>
  </si>
  <si>
    <t>P4WP1</t>
  </si>
  <si>
    <t>P4WP2</t>
  </si>
  <si>
    <t>P4WP3</t>
  </si>
  <si>
    <t>P4WP4</t>
  </si>
  <si>
    <t>P4WP5</t>
  </si>
  <si>
    <t>P4WP6</t>
  </si>
  <si>
    <t>P5WP1</t>
  </si>
  <si>
    <t>P5WP2</t>
  </si>
  <si>
    <t>P5WP3</t>
  </si>
  <si>
    <t>P5WP4</t>
  </si>
  <si>
    <t>P5WP5</t>
  </si>
  <si>
    <t>P5WP6</t>
  </si>
  <si>
    <t>D1.5.1</t>
  </si>
  <si>
    <t xml:space="preserve">D2.5.1 </t>
  </si>
  <si>
    <t xml:space="preserve">D3.5.1 </t>
  </si>
  <si>
    <t xml:space="preserve">D4.5.1 </t>
  </si>
  <si>
    <t xml:space="preserve">D5.5.1 </t>
  </si>
  <si>
    <t xml:space="preserve">D6.5.1 </t>
  </si>
  <si>
    <t>D1.5.2</t>
  </si>
  <si>
    <t>D2.5.2</t>
  </si>
  <si>
    <t>D3.5.2</t>
  </si>
  <si>
    <t>D4.5.2</t>
  </si>
  <si>
    <t>D5.5.2</t>
  </si>
  <si>
    <t>D6.5.2</t>
  </si>
  <si>
    <t>D1.5.3</t>
  </si>
  <si>
    <t>D2.5.3</t>
  </si>
  <si>
    <t>D3.5.3</t>
  </si>
  <si>
    <t>D4.5.3</t>
  </si>
  <si>
    <t>D5.5.3</t>
  </si>
  <si>
    <t>D6.5.3</t>
  </si>
  <si>
    <t>D1.5.4</t>
  </si>
  <si>
    <t>D2.5.4</t>
  </si>
  <si>
    <t>D3.5.4</t>
  </si>
  <si>
    <t>D4.5.4</t>
  </si>
  <si>
    <t>D5.5.4</t>
  </si>
  <si>
    <t>D6.5.4</t>
  </si>
  <si>
    <t>D1.5.5</t>
  </si>
  <si>
    <t>D2.5.5</t>
  </si>
  <si>
    <t>D3.5.5</t>
  </si>
  <si>
    <t>D4.5.5</t>
  </si>
  <si>
    <t>D5.5.5</t>
  </si>
  <si>
    <t>D6.5.5</t>
  </si>
  <si>
    <t>P6WP1</t>
  </si>
  <si>
    <t>P6WP2</t>
  </si>
  <si>
    <t>P6WP3</t>
  </si>
  <si>
    <t>P6WP4</t>
  </si>
  <si>
    <t>P6WP5</t>
  </si>
  <si>
    <t>P6WP6</t>
  </si>
  <si>
    <t>D1.6.1</t>
  </si>
  <si>
    <t xml:space="preserve">D2.6.1 </t>
  </si>
  <si>
    <t xml:space="preserve">D3.6.1 </t>
  </si>
  <si>
    <t xml:space="preserve">D4.6.1 </t>
  </si>
  <si>
    <t xml:space="preserve">D5.6.1 </t>
  </si>
  <si>
    <t xml:space="preserve">D6.6.1 </t>
  </si>
  <si>
    <t>D1.6.2</t>
  </si>
  <si>
    <t>D2.6.2</t>
  </si>
  <si>
    <t>D3.6.2</t>
  </si>
  <si>
    <t>D4.6.2</t>
  </si>
  <si>
    <t>D5.6.2</t>
  </si>
  <si>
    <t>D6.6.2</t>
  </si>
  <si>
    <t>D1.6.3</t>
  </si>
  <si>
    <t>D2.6.3</t>
  </si>
  <si>
    <t>D3.6.3</t>
  </si>
  <si>
    <t>D4.6.3</t>
  </si>
  <si>
    <t>D5.6.3</t>
  </si>
  <si>
    <t>D6.6.3</t>
  </si>
  <si>
    <t>D1.6.4</t>
  </si>
  <si>
    <t>D2.6.4</t>
  </si>
  <si>
    <t>D3.6.4</t>
  </si>
  <si>
    <t>D4.6.4</t>
  </si>
  <si>
    <t>D5.6.4</t>
  </si>
  <si>
    <t>D6.6.4</t>
  </si>
  <si>
    <t>D1.6.5</t>
  </si>
  <si>
    <t>D2.6.5</t>
  </si>
  <si>
    <t>D3.6.5</t>
  </si>
  <si>
    <t>D4.6.5</t>
  </si>
  <si>
    <t>D5.6.5</t>
  </si>
  <si>
    <t>D6.6.5</t>
  </si>
  <si>
    <t>P7WP1</t>
  </si>
  <si>
    <t>P7WP2</t>
  </si>
  <si>
    <t>P7WP3</t>
  </si>
  <si>
    <t>P7WP4</t>
  </si>
  <si>
    <t>P7WP5</t>
  </si>
  <si>
    <t>P7WP6</t>
  </si>
  <si>
    <t>D1.7.1</t>
  </si>
  <si>
    <t xml:space="preserve">D2.7.1 </t>
  </si>
  <si>
    <t xml:space="preserve">D3.7.1 </t>
  </si>
  <si>
    <t xml:space="preserve">D4.7.1 </t>
  </si>
  <si>
    <t xml:space="preserve">D5.7.1 </t>
  </si>
  <si>
    <t xml:space="preserve">D6.7.1 </t>
  </si>
  <si>
    <t>D1.7.2</t>
  </si>
  <si>
    <t>D2.7.2</t>
  </si>
  <si>
    <t>D3.7.2</t>
  </si>
  <si>
    <t>D4.7.2</t>
  </si>
  <si>
    <t>D5.7.2</t>
  </si>
  <si>
    <t>D6.7.2</t>
  </si>
  <si>
    <t>D1.7.3</t>
  </si>
  <si>
    <t>D2.7.3</t>
  </si>
  <si>
    <t>D3.7.3</t>
  </si>
  <si>
    <t>D4.7.3</t>
  </si>
  <si>
    <t>D5.7.3</t>
  </si>
  <si>
    <t>D6.7.3</t>
  </si>
  <si>
    <t>D1.7.4</t>
  </si>
  <si>
    <t>D2.7.4</t>
  </si>
  <si>
    <t>D3.7.4</t>
  </si>
  <si>
    <t>D4.7.4</t>
  </si>
  <si>
    <t>D5.7.4</t>
  </si>
  <si>
    <t>D6.7.4</t>
  </si>
  <si>
    <t>D1.7.5</t>
  </si>
  <si>
    <t>D2.7.5</t>
  </si>
  <si>
    <t>D3.7.5</t>
  </si>
  <si>
    <t>D4.7.5</t>
  </si>
  <si>
    <t>D5.7.5</t>
  </si>
  <si>
    <t>D6.7.5</t>
  </si>
  <si>
    <t>P8WP1</t>
  </si>
  <si>
    <t>P8WP2</t>
  </si>
  <si>
    <t>P8WP3</t>
  </si>
  <si>
    <t>P8WP4</t>
  </si>
  <si>
    <t>P8WP5</t>
  </si>
  <si>
    <t>P8WP6</t>
  </si>
  <si>
    <t>D1.8.1</t>
  </si>
  <si>
    <t xml:space="preserve">D2.8.1 </t>
  </si>
  <si>
    <t xml:space="preserve">D3.8.1 </t>
  </si>
  <si>
    <t xml:space="preserve">D4.8.1 </t>
  </si>
  <si>
    <t xml:space="preserve">D5.8.1 </t>
  </si>
  <si>
    <t xml:space="preserve">D6.8.1 </t>
  </si>
  <si>
    <t>D1.8.2</t>
  </si>
  <si>
    <t>D2.8.2</t>
  </si>
  <si>
    <t>D3.8.2</t>
  </si>
  <si>
    <t>D4.8.2</t>
  </si>
  <si>
    <t>D5.8.2</t>
  </si>
  <si>
    <t>D6.8.2</t>
  </si>
  <si>
    <t>D1.8.3</t>
  </si>
  <si>
    <t>D2.8.3</t>
  </si>
  <si>
    <t>D3.8.3</t>
  </si>
  <si>
    <t>D4.8.3</t>
  </si>
  <si>
    <t>D5.8.3</t>
  </si>
  <si>
    <t>D6.8.3</t>
  </si>
  <si>
    <t>D1.8.4</t>
  </si>
  <si>
    <t>D2.8.4</t>
  </si>
  <si>
    <t>D3.8.4</t>
  </si>
  <si>
    <t>D4.8.4</t>
  </si>
  <si>
    <t>D5.8.4</t>
  </si>
  <si>
    <t>D6.8.4</t>
  </si>
  <si>
    <t>D1.8.5</t>
  </si>
  <si>
    <t>D2.8.5</t>
  </si>
  <si>
    <t>D3.8.5</t>
  </si>
  <si>
    <t>D4.8.5</t>
  </si>
  <si>
    <t>D5.8.5</t>
  </si>
  <si>
    <t>D6.8.5</t>
  </si>
  <si>
    <t>P9WP1</t>
  </si>
  <si>
    <t>P9WP2</t>
  </si>
  <si>
    <t>P9WP3</t>
  </si>
  <si>
    <t>P9WP4</t>
  </si>
  <si>
    <t>P9WP5</t>
  </si>
  <si>
    <t>P9WP6</t>
  </si>
  <si>
    <t>D1.9.1</t>
  </si>
  <si>
    <t xml:space="preserve">D2.9.1 </t>
  </si>
  <si>
    <t xml:space="preserve">D3.9.1 </t>
  </si>
  <si>
    <t xml:space="preserve">D4.9.1 </t>
  </si>
  <si>
    <t xml:space="preserve">D5.9.1 </t>
  </si>
  <si>
    <t xml:space="preserve">D6.9.1 </t>
  </si>
  <si>
    <t>D1.9.2</t>
  </si>
  <si>
    <t>D2.9.2</t>
  </si>
  <si>
    <t>D3.9.2</t>
  </si>
  <si>
    <t>D4.9.2</t>
  </si>
  <si>
    <t>D5.9.2</t>
  </si>
  <si>
    <t>D6.9.2</t>
  </si>
  <si>
    <t>D1.9.3</t>
  </si>
  <si>
    <t>D2.9.3</t>
  </si>
  <si>
    <t>D3.9.3</t>
  </si>
  <si>
    <t>D4.9.3</t>
  </si>
  <si>
    <t>D5.9.3</t>
  </si>
  <si>
    <t>D6.9.3</t>
  </si>
  <si>
    <t>D1.9.4</t>
  </si>
  <si>
    <t>D2.9.4</t>
  </si>
  <si>
    <t>D3.9.4</t>
  </si>
  <si>
    <t>D4.9.4</t>
  </si>
  <si>
    <t>D5.9.4</t>
  </si>
  <si>
    <t>D6.9.4</t>
  </si>
  <si>
    <t>D1.9.5</t>
  </si>
  <si>
    <t>D2.9.5</t>
  </si>
  <si>
    <t>D3.9.5</t>
  </si>
  <si>
    <t>D4.9.5</t>
  </si>
  <si>
    <t>D5.9.5</t>
  </si>
  <si>
    <t>D6.9.5</t>
  </si>
  <si>
    <t>P10WP1</t>
  </si>
  <si>
    <t>P10WP2</t>
  </si>
  <si>
    <t>P10WP3</t>
  </si>
  <si>
    <t>P10WP4</t>
  </si>
  <si>
    <t>P10WP5</t>
  </si>
  <si>
    <t>P10WP6</t>
  </si>
  <si>
    <t>D1.10.1</t>
  </si>
  <si>
    <t xml:space="preserve">D2.10.1 </t>
  </si>
  <si>
    <t xml:space="preserve">D3.10.1 </t>
  </si>
  <si>
    <t xml:space="preserve">D4.10.1 </t>
  </si>
  <si>
    <t xml:space="preserve">D5.10.1 </t>
  </si>
  <si>
    <t xml:space="preserve">D6.10.1 </t>
  </si>
  <si>
    <t>D1.10.2</t>
  </si>
  <si>
    <t>D2.10.2</t>
  </si>
  <si>
    <t>D3.10.2</t>
  </si>
  <si>
    <t>D4.10.2</t>
  </si>
  <si>
    <t>D5.10.2</t>
  </si>
  <si>
    <t>D6.10.2</t>
  </si>
  <si>
    <t>D1.10.3</t>
  </si>
  <si>
    <t>D2.10.3</t>
  </si>
  <si>
    <t>D3.10.3</t>
  </si>
  <si>
    <t>D4.10.3</t>
  </si>
  <si>
    <t>D5.10.3</t>
  </si>
  <si>
    <t>D6.10.3</t>
  </si>
  <si>
    <t>D1.10.4</t>
  </si>
  <si>
    <t>D2.10.4</t>
  </si>
  <si>
    <t>D3.10.4</t>
  </si>
  <si>
    <t>D4.10.4</t>
  </si>
  <si>
    <t>D5.10.4</t>
  </si>
  <si>
    <t>D6.10.4</t>
  </si>
  <si>
    <t>D1.10.5</t>
  </si>
  <si>
    <t>D2.10.5</t>
  </si>
  <si>
    <t>D3.10.5</t>
  </si>
  <si>
    <t>D4.10.5</t>
  </si>
  <si>
    <t>D5.10.5</t>
  </si>
  <si>
    <t>D6.10.5</t>
  </si>
  <si>
    <t>Transportation</t>
  </si>
  <si>
    <t>Office_Administration</t>
  </si>
  <si>
    <t>Infrastructure and Works</t>
  </si>
  <si>
    <t>Trave_Accomodation</t>
  </si>
  <si>
    <t>Expertise_Services</t>
  </si>
  <si>
    <t>Travel and Accommodation</t>
  </si>
  <si>
    <t>Infrastructure</t>
  </si>
  <si>
    <t>Total Cost</t>
  </si>
  <si>
    <t>Total Partner Budget</t>
  </si>
  <si>
    <t>Brief justification of the expenditure (Max 350 Characters)</t>
  </si>
  <si>
    <t>Item</t>
  </si>
  <si>
    <t xml:space="preserve">WP 1 </t>
  </si>
  <si>
    <t>WP 2</t>
  </si>
  <si>
    <t xml:space="preserve">WP 3 </t>
  </si>
  <si>
    <t>Title</t>
  </si>
  <si>
    <t>WP 4</t>
  </si>
  <si>
    <t>WP 5</t>
  </si>
  <si>
    <t>WP 6</t>
  </si>
  <si>
    <t>Total</t>
  </si>
  <si>
    <t>TOTALS</t>
  </si>
  <si>
    <t>D3.1.1</t>
  </si>
  <si>
    <t>D2.1.1</t>
  </si>
  <si>
    <t>D4.1.1</t>
  </si>
  <si>
    <t>D5.1.1</t>
  </si>
  <si>
    <t>D6.1.1</t>
  </si>
  <si>
    <t>D2.6.1</t>
  </si>
  <si>
    <t>D3.6.1</t>
  </si>
  <si>
    <t>D4.6.1</t>
  </si>
  <si>
    <t>D6.6.1</t>
  </si>
  <si>
    <t>D5.6.1</t>
  </si>
  <si>
    <t>D2.2.1</t>
  </si>
  <si>
    <t>D3.2.1</t>
  </si>
  <si>
    <t>D4.2.1</t>
  </si>
  <si>
    <t>D5.2.1</t>
  </si>
  <si>
    <t>D6.2.1</t>
  </si>
  <si>
    <t>D2.7.1</t>
  </si>
  <si>
    <t>D3.7.1</t>
  </si>
  <si>
    <t>D4.7.1</t>
  </si>
  <si>
    <t>D5.7.1</t>
  </si>
  <si>
    <t>D6.7.1</t>
  </si>
  <si>
    <t>D2.8.1</t>
  </si>
  <si>
    <t>D3.8.1</t>
  </si>
  <si>
    <t>D4.8.1</t>
  </si>
  <si>
    <t>D5.8.1</t>
  </si>
  <si>
    <t>D6.8.1</t>
  </si>
  <si>
    <t>D2.9.1</t>
  </si>
  <si>
    <t>D3.9.1</t>
  </si>
  <si>
    <t>D4.9.1</t>
  </si>
  <si>
    <t>D5.9.1</t>
  </si>
  <si>
    <t>D6.9.1</t>
  </si>
  <si>
    <t>D2.10.1</t>
  </si>
  <si>
    <t>D3.10.1</t>
  </si>
  <si>
    <t>D4.10.1</t>
  </si>
  <si>
    <t>D5.10.1</t>
  </si>
  <si>
    <t>D6.10.1</t>
  </si>
  <si>
    <t>D2.5.1</t>
  </si>
  <si>
    <t>D3.5.1</t>
  </si>
  <si>
    <t>D4.5.1</t>
  </si>
  <si>
    <t>D5.5.1</t>
  </si>
  <si>
    <t>D6.5.1</t>
  </si>
  <si>
    <t>D2.4.1</t>
  </si>
  <si>
    <t>D3.4.1</t>
  </si>
  <si>
    <t>D4.4.1</t>
  </si>
  <si>
    <t>D6.4.1</t>
  </si>
  <si>
    <t>D5.4.1</t>
  </si>
  <si>
    <t>D2.3.1</t>
  </si>
  <si>
    <t>D3.3.1</t>
  </si>
  <si>
    <t>D4.3.1</t>
  </si>
  <si>
    <t>D5.3.1</t>
  </si>
  <si>
    <t>D6.3.1</t>
  </si>
  <si>
    <t>Travel and accommodation</t>
  </si>
  <si>
    <t>Lead Beneficiary Stamp and Signature</t>
  </si>
  <si>
    <t>Time of item</t>
  </si>
  <si>
    <t>Cost per item (€)</t>
  </si>
  <si>
    <t>Quantity of item (Nr.)</t>
  </si>
  <si>
    <t>Technical or scientific Expertise</t>
  </si>
  <si>
    <t>Other</t>
  </si>
  <si>
    <t>Audits</t>
  </si>
  <si>
    <t>Scientific Studies</t>
  </si>
  <si>
    <t>Office Equipment</t>
  </si>
  <si>
    <t>IT hardware and software</t>
  </si>
  <si>
    <t>Laboratory Equipment</t>
  </si>
  <si>
    <t>Machines and instruments</t>
  </si>
  <si>
    <t>Tools or devices</t>
  </si>
  <si>
    <t>Vehicles</t>
  </si>
  <si>
    <t>Furniture and fittings</t>
  </si>
  <si>
    <t>Other specific equipment</t>
  </si>
  <si>
    <t>Total Project Budget</t>
  </si>
  <si>
    <t>Preparation Costs (D1.X.1)</t>
  </si>
  <si>
    <t>Priority Axis</t>
  </si>
  <si>
    <t>Flat Rate</t>
  </si>
  <si>
    <t>Real Costs - Project manager</t>
  </si>
  <si>
    <t>PB2</t>
  </si>
  <si>
    <t>PB3</t>
  </si>
  <si>
    <t>PB4</t>
  </si>
  <si>
    <t>PB5</t>
  </si>
  <si>
    <t>PB6</t>
  </si>
  <si>
    <t>PB7</t>
  </si>
  <si>
    <t>PB8</t>
  </si>
  <si>
    <t>PB9</t>
  </si>
  <si>
    <t>PB10</t>
  </si>
  <si>
    <t>LB (PB1)</t>
  </si>
  <si>
    <t>Real Costs - Financial manager</t>
  </si>
  <si>
    <t>Real Costs - Administrative staff</t>
  </si>
  <si>
    <t>Real Costs - Technical Staff</t>
  </si>
  <si>
    <t>Real Costs - Other</t>
  </si>
  <si>
    <t>Real Costs - Bank Charges</t>
  </si>
  <si>
    <t>Real Costs - Office costs</t>
  </si>
  <si>
    <t>Real Costs - Staff operational costs</t>
  </si>
  <si>
    <t>Staff Costs Calculation Method</t>
  </si>
  <si>
    <t>Deliverable-budget line</t>
  </si>
  <si>
    <t>WP-Item</t>
  </si>
  <si>
    <t>budget line-item</t>
  </si>
  <si>
    <t>Staff Costs-Flat Rate</t>
  </si>
  <si>
    <t>Staff costs-Real</t>
  </si>
  <si>
    <t>Ο&amp;Α Costs-Flat Rate</t>
  </si>
  <si>
    <t>Ο&amp;Α Costs-Real</t>
  </si>
  <si>
    <t>Flat rate</t>
  </si>
  <si>
    <t>Real Costs</t>
  </si>
  <si>
    <t>ERROR</t>
  </si>
  <si>
    <t>Staff Cost Calculation method</t>
  </si>
  <si>
    <t>Ο&amp;Α Cost Calculation method</t>
  </si>
  <si>
    <t xml:space="preserve">Total Staff </t>
  </si>
  <si>
    <t>Ο&amp;Α total</t>
  </si>
  <si>
    <t>Office and administration (O&amp;A) Costs Calculation Method</t>
  </si>
  <si>
    <t>Lead Beneficiary (PB1)</t>
  </si>
  <si>
    <t>1.</t>
  </si>
  <si>
    <t>3.</t>
  </si>
  <si>
    <t>2.</t>
  </si>
  <si>
    <t>4.</t>
  </si>
  <si>
    <t>Technical Assistance</t>
  </si>
  <si>
    <t>Pr.Axis1</t>
  </si>
  <si>
    <t>Pr.Axis2</t>
  </si>
  <si>
    <t>Pr.Axis3</t>
  </si>
  <si>
    <t>Pr.Axis4</t>
  </si>
  <si>
    <t>VLOOKUP</t>
  </si>
  <si>
    <t>Priority Axis:</t>
  </si>
  <si>
    <t>Pr.Axis2a</t>
  </si>
  <si>
    <t>Project Details</t>
  </si>
  <si>
    <t xml:space="preserve">MINIMUM PROJECT BUDGET </t>
  </si>
  <si>
    <t>SOFT PROJECTS BUDGET LIMITS (€)</t>
  </si>
  <si>
    <t>INVESTMENT PROJECT BUDGET LIMITS (€)</t>
  </si>
  <si>
    <t>3a</t>
  </si>
  <si>
    <t>250.000,00€</t>
  </si>
  <si>
    <t>650.000,00€</t>
  </si>
  <si>
    <t>6c</t>
  </si>
  <si>
    <t>6d</t>
  </si>
  <si>
    <t>6f</t>
  </si>
  <si>
    <t>9a</t>
  </si>
  <si>
    <t>9c</t>
  </si>
  <si>
    <t>Maximum-Soft</t>
  </si>
  <si>
    <t>Maximum-Investment</t>
  </si>
  <si>
    <t>Minimum-Budget</t>
  </si>
  <si>
    <t>Project budget for activities outside the Programme area</t>
  </si>
  <si>
    <t>Abbr.</t>
  </si>
  <si>
    <t>WP for activities outside the programme area (if applicable):</t>
  </si>
  <si>
    <r>
      <t xml:space="preserve">Staff Costs </t>
    </r>
    <r>
      <rPr>
        <i/>
        <sz val="11"/>
        <color indexed="8"/>
        <rFont val="Calibri"/>
        <family val="2"/>
        <charset val="161"/>
      </rPr>
      <t>(Flat Rate basis Calculation)</t>
    </r>
  </si>
  <si>
    <r>
      <t xml:space="preserve">Office and administration expenditure Budget Line </t>
    </r>
    <r>
      <rPr>
        <i/>
        <sz val="11"/>
        <color indexed="8"/>
        <rFont val="Calibri"/>
        <family val="2"/>
        <charset val="161"/>
      </rPr>
      <t>(Flat Rate basis calculation)</t>
    </r>
  </si>
  <si>
    <r>
      <t xml:space="preserve">Office and administration expenditure Budget Line </t>
    </r>
    <r>
      <rPr>
        <i/>
        <sz val="11"/>
        <color indexed="8"/>
        <rFont val="Calibri"/>
        <family val="2"/>
        <charset val="161"/>
      </rPr>
      <t>(Real Costs basis calculation)</t>
    </r>
  </si>
  <si>
    <t>WP1: Management costs</t>
  </si>
  <si>
    <t xml:space="preserve">Cumulative:
i. WPX: Activities outside the programme area and 
ii. total budget of all Beneficiaries located outside the programme area
</t>
  </si>
  <si>
    <r>
      <t xml:space="preserve">Maximum 20% </t>
    </r>
    <r>
      <rPr>
        <sz val="11"/>
        <color theme="1"/>
        <rFont val="Calibri"/>
        <family val="2"/>
        <charset val="161"/>
        <scheme val="minor"/>
      </rPr>
      <t>of the total directs costs of the project other than staff costs and O&amp;A.</t>
    </r>
  </si>
  <si>
    <r>
      <rPr>
        <b/>
        <sz val="11"/>
        <color indexed="8"/>
        <rFont val="Calibri"/>
        <family val="2"/>
        <charset val="161"/>
      </rPr>
      <t>Maximum 20%</t>
    </r>
    <r>
      <rPr>
        <sz val="11"/>
        <color theme="1"/>
        <rFont val="Calibri"/>
        <family val="2"/>
        <charset val="161"/>
        <scheme val="minor"/>
      </rPr>
      <t xml:space="preserve"> of the total project budget.</t>
    </r>
  </si>
  <si>
    <r>
      <t>Maximum 15%</t>
    </r>
    <r>
      <rPr>
        <sz val="11"/>
        <color theme="1"/>
        <rFont val="Calibri"/>
        <family val="2"/>
        <charset val="161"/>
        <scheme val="minor"/>
      </rPr>
      <t xml:space="preserve"> of the total beneficiary’s staff up to </t>
    </r>
    <r>
      <rPr>
        <b/>
        <sz val="11"/>
        <color indexed="8"/>
        <rFont val="Calibri"/>
        <family val="2"/>
        <charset val="161"/>
      </rPr>
      <t>4% of the total beneficiary’s budget</t>
    </r>
  </si>
  <si>
    <r>
      <t xml:space="preserve">Maximum 10% </t>
    </r>
    <r>
      <rPr>
        <sz val="11"/>
        <color theme="1"/>
        <rFont val="Calibri"/>
        <family val="2"/>
        <charset val="161"/>
        <scheme val="minor"/>
      </rPr>
      <t>of the total beneficiary’s budget without including Preparation activities and Audit Costs.</t>
    </r>
  </si>
  <si>
    <r>
      <rPr>
        <b/>
        <sz val="11"/>
        <color indexed="8"/>
        <rFont val="Calibri"/>
        <family val="2"/>
        <charset val="161"/>
      </rPr>
      <t>Maximum 4%</t>
    </r>
    <r>
      <rPr>
        <sz val="11"/>
        <color theme="1"/>
        <rFont val="Calibri"/>
        <family val="2"/>
        <charset val="161"/>
        <scheme val="minor"/>
      </rPr>
      <t xml:space="preserve"> of the total beneficiary’s budget</t>
    </r>
  </si>
  <si>
    <t>Minimum budget</t>
  </si>
  <si>
    <t>Maximum budget</t>
  </si>
  <si>
    <r>
      <rPr>
        <b/>
        <sz val="11"/>
        <color indexed="8"/>
        <rFont val="Calibri"/>
        <family val="2"/>
        <charset val="161"/>
      </rPr>
      <t>Maximum 5%</t>
    </r>
    <r>
      <rPr>
        <sz val="11"/>
        <color theme="1"/>
        <rFont val="Calibri"/>
        <family val="2"/>
        <charset val="161"/>
        <scheme val="minor"/>
      </rPr>
      <t xml:space="preserve"> of total project budget up to </t>
    </r>
    <r>
      <rPr>
        <b/>
        <sz val="11"/>
        <color indexed="8"/>
        <rFont val="Calibri"/>
        <family val="2"/>
        <charset val="161"/>
      </rPr>
      <t>40.000€</t>
    </r>
  </si>
  <si>
    <r>
      <rPr>
        <b/>
        <sz val="10"/>
        <rFont val="Calibri"/>
        <family val="2"/>
        <charset val="161"/>
      </rPr>
      <t>Attention:</t>
    </r>
    <r>
      <rPr>
        <sz val="10"/>
        <rFont val="Calibri"/>
        <family val="2"/>
        <charset val="161"/>
      </rPr>
      <t xml:space="preserve"> Please print only the necessary lines! Before printing, please use the active filters on the top of the pages to omit the empty lines in each Beneficiary's sheet.</t>
    </r>
  </si>
  <si>
    <t>B. Nr.</t>
  </si>
  <si>
    <t>Beneficiary title</t>
  </si>
  <si>
    <t>Project's Staff Costs Calculation method</t>
  </si>
  <si>
    <t>Staff Costs Calculation method for the project:</t>
  </si>
  <si>
    <t>INDIRECTS</t>
  </si>
  <si>
    <t>Travel_Accommodation</t>
  </si>
  <si>
    <t>TRUES FLAT RATES</t>
  </si>
  <si>
    <t>A</t>
  </si>
  <si>
    <t>B</t>
  </si>
  <si>
    <t>C</t>
  </si>
  <si>
    <t>D</t>
  </si>
  <si>
    <t>F</t>
  </si>
  <si>
    <t>G</t>
  </si>
  <si>
    <t>I</t>
  </si>
  <si>
    <t>J</t>
  </si>
  <si>
    <t>K</t>
  </si>
  <si>
    <t>L</t>
  </si>
  <si>
    <t>M</t>
  </si>
  <si>
    <t>Beneficiary level budget Rules</t>
  </si>
  <si>
    <t>Project level budget Rules</t>
  </si>
  <si>
    <t>E</t>
  </si>
  <si>
    <t>Project Level budget Rules' compliance</t>
  </si>
  <si>
    <t>Beneficiaries outside the Programme area</t>
  </si>
  <si>
    <t>Cumulative: Beneficiaries and Activities Outside the Programme area (G24+G27)</t>
  </si>
  <si>
    <t>Staff Costs per Beneficiary</t>
  </si>
  <si>
    <t>Total Budget</t>
  </si>
  <si>
    <t>N</t>
  </si>
  <si>
    <t>O</t>
  </si>
  <si>
    <t>Limits of Office and administration (O&amp;A) expenditure per Beneficiary</t>
  </si>
  <si>
    <t>Office and administration (O&amp;A) expenditure in the project per Beneficiary</t>
  </si>
  <si>
    <t>WP1 Management Total Costs in the project per Beneficiary</t>
  </si>
  <si>
    <t>Audit Costs in WP1 in the project per Beneficiary</t>
  </si>
  <si>
    <t>WP1 Management Costs without including Preparation Activities and Audit Costs in the project per Beneficiary</t>
  </si>
  <si>
    <t>Beneficiary Level budget Rules' compliance</t>
  </si>
  <si>
    <t>Inside Programme area?*</t>
  </si>
  <si>
    <t>* Please check Beneficiaries' eligibility and location rules in the Project Application Manual</t>
  </si>
  <si>
    <t>Limits of Management Costs (WP1 without including Preparation costs and Audits) per Beneficiary</t>
  </si>
  <si>
    <t>Table 1</t>
  </si>
  <si>
    <t>Table 2</t>
  </si>
  <si>
    <t>TABLE 3</t>
  </si>
  <si>
    <t>TABLE 4</t>
  </si>
  <si>
    <t>Maximum Allowed budget of Beneficiary 
(checked in Table 4)</t>
  </si>
  <si>
    <t>Calculated in Column J of Table 4 for each beneficiary</t>
  </si>
  <si>
    <t>Calculated in Column K of Table 4 for each beneficiary</t>
  </si>
  <si>
    <t xml:space="preserve">Maximum Allowed budget  accordign to project budget (checked in Table 3) </t>
  </si>
  <si>
    <t>Italy</t>
  </si>
  <si>
    <t>1. Innovation and Competitiveness</t>
  </si>
  <si>
    <t>2. Integrated Environmental Management</t>
  </si>
  <si>
    <t>4. Technical Assistance</t>
  </si>
  <si>
    <t>Integrated Environmental Management</t>
  </si>
  <si>
    <t>Innovation and Competitiveness</t>
  </si>
  <si>
    <t>1b</t>
  </si>
  <si>
    <t>7b</t>
  </si>
  <si>
    <t>7c</t>
  </si>
  <si>
    <t>Ta</t>
  </si>
  <si>
    <t>3. Cross Border and Sustainable Transport System</t>
  </si>
  <si>
    <t>Cross Border and Sustainable Transport System</t>
  </si>
  <si>
    <t>1st  Call for Proposals for Ordinary Projects</t>
  </si>
  <si>
    <t>Delivering innovation support services and developing clusters across borders to foster competitiveness</t>
  </si>
  <si>
    <t>1.1</t>
  </si>
  <si>
    <t>1.2</t>
  </si>
  <si>
    <t>2.1</t>
  </si>
  <si>
    <t>2.2</t>
  </si>
  <si>
    <t>2.3</t>
  </si>
  <si>
    <t>3.1</t>
  </si>
  <si>
    <t>3.2</t>
  </si>
  <si>
    <t>4.1</t>
  </si>
  <si>
    <t xml:space="preserve">Specific Objective </t>
  </si>
  <si>
    <t>Supporting the incubation of innovative specialized micro and small enterprises in thematic sectors of interest to the Programme Area</t>
  </si>
  <si>
    <t>Valorisation of cultural heritage and natural resources as a territorial asset of the Programme Area</t>
  </si>
  <si>
    <t>Improvement of joint management and governance plans for biodiversity of coastal and rural ecosystems, paying attention on natural resources and protected areas and development of environmental protection measures</t>
  </si>
  <si>
    <t>Developing and testing of innovative technologies/ tools to reduce marine and air pollution</t>
  </si>
  <si>
    <t>Boosting maritime transport, short-sea shipping capacity and cross-border ferry connectivity</t>
  </si>
  <si>
    <t>Improving cross-border coordination among transport stakeholders on introducing multimodal environmentally-friendly solutions</t>
  </si>
  <si>
    <t>To implement efficiently the cross border programme</t>
  </si>
  <si>
    <t>Specific Objective:</t>
  </si>
  <si>
    <t>Budget Limits forSpecific Objective of the project</t>
  </si>
  <si>
    <t>Specific Objective :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</si>
</sst>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4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Verdana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i/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16"/>
      <color rgb="FFFF0000"/>
      <name val="Verdana"/>
      <family val="2"/>
      <charset val="161"/>
    </font>
    <font>
      <sz val="16"/>
      <color rgb="FFFF0000"/>
      <name val="Calibri"/>
      <family val="2"/>
      <charset val="161"/>
      <scheme val="minor"/>
    </font>
    <font>
      <sz val="10"/>
      <color rgb="FFCCFFCC"/>
      <name val="Calibri"/>
      <family val="2"/>
      <charset val="161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i/>
      <sz val="8"/>
      <name val="Calibri"/>
      <family val="2"/>
      <charset val="161"/>
      <scheme val="minor"/>
    </font>
    <font>
      <sz val="11"/>
      <color theme="0" tint="-0.14999847407452621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color indexed="9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9"/>
      <color rgb="FF000000"/>
      <name val="Arial Unicode MS"/>
      <family val="2"/>
      <charset val="161"/>
    </font>
    <font>
      <sz val="10"/>
      <color theme="1"/>
      <name val="Times New Roman"/>
      <family val="1"/>
      <charset val="161"/>
    </font>
    <font>
      <sz val="11"/>
      <color theme="1"/>
      <name val="Calibri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8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gray125">
        <bgColor rgb="FFFFFFCC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37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Font="1"/>
    <xf numFmtId="0" fontId="0" fillId="0" borderId="0" xfId="0" applyFont="1" applyBorder="1" applyAlignment="1"/>
    <xf numFmtId="0" fontId="8" fillId="2" borderId="0" xfId="1" applyFont="1" applyFill="1" applyBorder="1" applyAlignment="1" applyProtection="1">
      <alignment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8" fillId="2" borderId="1" xfId="1" applyFont="1" applyFill="1" applyBorder="1" applyAlignment="1" applyProtection="1">
      <alignment vertical="top" wrapText="1"/>
    </xf>
    <xf numFmtId="0" fontId="8" fillId="2" borderId="1" xfId="1" applyFont="1" applyFill="1" applyBorder="1" applyAlignment="1" applyProtection="1">
      <alignment horizontal="center" vertical="top" wrapText="1"/>
    </xf>
    <xf numFmtId="0" fontId="9" fillId="3" borderId="2" xfId="1" applyFont="1" applyFill="1" applyBorder="1" applyAlignment="1" applyProtection="1">
      <alignment vertical="top" wrapText="1"/>
    </xf>
    <xf numFmtId="0" fontId="9" fillId="3" borderId="0" xfId="1" applyFont="1" applyFill="1" applyBorder="1" applyAlignment="1" applyProtection="1">
      <alignment vertical="top" wrapText="1"/>
    </xf>
    <xf numFmtId="0" fontId="10" fillId="3" borderId="3" xfId="1" applyFont="1" applyFill="1" applyBorder="1" applyAlignment="1" applyProtection="1">
      <alignment vertical="top" wrapText="1"/>
    </xf>
    <xf numFmtId="0" fontId="9" fillId="3" borderId="3" xfId="1" applyFont="1" applyFill="1" applyBorder="1" applyAlignment="1" applyProtection="1">
      <alignment vertical="top" wrapText="1"/>
    </xf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2" borderId="2" xfId="1" applyFont="1" applyFill="1" applyBorder="1" applyAlignment="1" applyProtection="1">
      <alignment vertical="top" wrapText="1"/>
    </xf>
    <xf numFmtId="0" fontId="8" fillId="2" borderId="7" xfId="1" applyFont="1" applyFill="1" applyBorder="1" applyAlignment="1" applyProtection="1">
      <alignment vertical="top" wrapText="1"/>
    </xf>
    <xf numFmtId="0" fontId="8" fillId="2" borderId="8" xfId="1" applyFont="1" applyFill="1" applyBorder="1" applyAlignment="1" applyProtection="1">
      <alignment vertical="top" wrapText="1"/>
    </xf>
    <xf numFmtId="0" fontId="8" fillId="2" borderId="9" xfId="1" applyFont="1" applyFill="1" applyBorder="1" applyAlignment="1" applyProtection="1">
      <alignment vertical="top" wrapText="1"/>
    </xf>
    <xf numFmtId="0" fontId="9" fillId="3" borderId="7" xfId="1" applyFont="1" applyFill="1" applyBorder="1" applyAlignment="1" applyProtection="1">
      <alignment vertical="top" wrapText="1"/>
    </xf>
    <xf numFmtId="0" fontId="11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top"/>
    </xf>
    <xf numFmtId="0" fontId="9" fillId="3" borderId="10" xfId="1" applyFont="1" applyFill="1" applyBorder="1" applyAlignment="1" applyProtection="1">
      <alignment vertical="top" wrapText="1"/>
    </xf>
    <xf numFmtId="0" fontId="9" fillId="3" borderId="11" xfId="1" applyFont="1" applyFill="1" applyBorder="1" applyAlignment="1" applyProtection="1">
      <alignment vertical="top" wrapText="1"/>
    </xf>
    <xf numFmtId="0" fontId="9" fillId="3" borderId="11" xfId="1" applyFont="1" applyFill="1" applyBorder="1" applyAlignment="1" applyProtection="1">
      <alignment horizontal="center" vertical="top" wrapText="1"/>
    </xf>
    <xf numFmtId="0" fontId="9" fillId="3" borderId="12" xfId="1" applyFont="1" applyFill="1" applyBorder="1" applyAlignment="1" applyProtection="1">
      <alignment vertical="top" wrapText="1"/>
    </xf>
    <xf numFmtId="0" fontId="8" fillId="2" borderId="7" xfId="0" applyFont="1" applyFill="1" applyBorder="1"/>
    <xf numFmtId="0" fontId="2" fillId="4" borderId="3" xfId="0" applyFont="1" applyFill="1" applyBorder="1" applyAlignment="1">
      <alignment vertical="top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49" fontId="0" fillId="0" borderId="0" xfId="0" applyNumberFormat="1" applyFont="1" applyProtection="1">
      <protection hidden="1"/>
    </xf>
    <xf numFmtId="0" fontId="0" fillId="0" borderId="0" xfId="0" applyFont="1" applyProtection="1">
      <protection hidden="1"/>
    </xf>
    <xf numFmtId="49" fontId="0" fillId="0" borderId="0" xfId="0" applyNumberFormat="1"/>
    <xf numFmtId="0" fontId="0" fillId="0" borderId="0" xfId="0" applyProtection="1">
      <protection hidden="1"/>
    </xf>
    <xf numFmtId="0" fontId="0" fillId="4" borderId="0" xfId="0" applyFill="1"/>
    <xf numFmtId="0" fontId="12" fillId="0" borderId="0" xfId="0" applyFont="1" applyFill="1" applyBorder="1"/>
    <xf numFmtId="0" fontId="12" fillId="5" borderId="3" xfId="0" applyFont="1" applyFill="1" applyBorder="1"/>
    <xf numFmtId="0" fontId="9" fillId="3" borderId="13" xfId="1" applyFont="1" applyFill="1" applyBorder="1" applyAlignment="1" applyProtection="1">
      <alignment vertical="top" wrapText="1"/>
    </xf>
    <xf numFmtId="0" fontId="13" fillId="0" borderId="0" xfId="0" applyFont="1" applyProtection="1">
      <protection hidden="1"/>
    </xf>
    <xf numFmtId="0" fontId="14" fillId="9" borderId="14" xfId="0" applyFont="1" applyFill="1" applyBorder="1" applyAlignment="1" applyProtection="1">
      <alignment horizontal="center" vertical="center" wrapText="1"/>
      <protection hidden="1"/>
    </xf>
    <xf numFmtId="0" fontId="14" fillId="9" borderId="15" xfId="0" applyFont="1" applyFill="1" applyBorder="1" applyAlignment="1" applyProtection="1">
      <alignment horizontal="center" vertical="center" wrapText="1"/>
      <protection hidden="1"/>
    </xf>
    <xf numFmtId="0" fontId="15" fillId="10" borderId="16" xfId="0" applyFont="1" applyFill="1" applyBorder="1" applyAlignment="1" applyProtection="1">
      <alignment horizontal="center" vertical="center" wrapText="1"/>
      <protection hidden="1"/>
    </xf>
    <xf numFmtId="0" fontId="15" fillId="10" borderId="3" xfId="0" applyFont="1" applyFill="1" applyBorder="1" applyAlignment="1" applyProtection="1">
      <alignment horizontal="center" vertical="center" wrapText="1"/>
      <protection hidden="1"/>
    </xf>
    <xf numFmtId="164" fontId="13" fillId="6" borderId="3" xfId="0" applyNumberFormat="1" applyFont="1" applyFill="1" applyBorder="1" applyProtection="1">
      <protection hidden="1"/>
    </xf>
    <xf numFmtId="164" fontId="16" fillId="10" borderId="3" xfId="0" applyNumberFormat="1" applyFont="1" applyFill="1" applyBorder="1" applyProtection="1">
      <protection hidden="1"/>
    </xf>
    <xf numFmtId="0" fontId="15" fillId="10" borderId="3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14" fillId="9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1" applyFont="1" applyFill="1" applyBorder="1" applyAlignment="1" applyProtection="1">
      <alignment horizontal="left" vertical="center" wrapText="1"/>
      <protection locked="0"/>
    </xf>
    <xf numFmtId="0" fontId="12" fillId="11" borderId="3" xfId="0" applyFont="1" applyFill="1" applyBorder="1"/>
    <xf numFmtId="164" fontId="7" fillId="10" borderId="3" xfId="0" applyNumberFormat="1" applyFont="1" applyFill="1" applyBorder="1" applyProtection="1">
      <protection hidden="1"/>
    </xf>
    <xf numFmtId="0" fontId="12" fillId="5" borderId="17" xfId="0" applyFont="1" applyFill="1" applyBorder="1" applyProtection="1">
      <protection hidden="1"/>
    </xf>
    <xf numFmtId="164" fontId="0" fillId="10" borderId="3" xfId="0" applyNumberFormat="1" applyFill="1" applyBorder="1" applyProtection="1">
      <protection hidden="1"/>
    </xf>
    <xf numFmtId="0" fontId="12" fillId="10" borderId="3" xfId="0" applyFont="1" applyFill="1" applyBorder="1" applyProtection="1">
      <protection hidden="1"/>
    </xf>
    <xf numFmtId="0" fontId="17" fillId="10" borderId="3" xfId="0" applyFont="1" applyFill="1" applyBorder="1" applyProtection="1">
      <protection hidden="1"/>
    </xf>
    <xf numFmtId="164" fontId="16" fillId="10" borderId="3" xfId="0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/>
    <xf numFmtId="0" fontId="11" fillId="10" borderId="3" xfId="0" applyFont="1" applyFill="1" applyBorder="1" applyAlignment="1" applyProtection="1">
      <alignment horizontal="left" vertical="center" wrapText="1"/>
      <protection hidden="1"/>
    </xf>
    <xf numFmtId="164" fontId="7" fillId="6" borderId="3" xfId="0" applyNumberFormat="1" applyFont="1" applyFill="1" applyBorder="1" applyProtection="1">
      <protection hidden="1"/>
    </xf>
    <xf numFmtId="164" fontId="0" fillId="6" borderId="3" xfId="0" applyNumberFormat="1" applyFont="1" applyFill="1" applyBorder="1" applyProtection="1">
      <protection hidden="1"/>
    </xf>
    <xf numFmtId="0" fontId="2" fillId="4" borderId="0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49" fontId="0" fillId="0" borderId="0" xfId="0" applyNumberFormat="1" applyProtection="1">
      <protection hidden="1"/>
    </xf>
    <xf numFmtId="0" fontId="12" fillId="11" borderId="18" xfId="0" applyFont="1" applyFill="1" applyBorder="1"/>
    <xf numFmtId="0" fontId="18" fillId="0" borderId="0" xfId="0" applyFont="1" applyAlignment="1">
      <alignment horizontal="center"/>
    </xf>
    <xf numFmtId="0" fontId="11" fillId="5" borderId="3" xfId="0" applyFont="1" applyFill="1" applyBorder="1" applyAlignment="1" applyProtection="1">
      <alignment horizontal="center" vertical="center" wrapText="1"/>
      <protection hidden="1"/>
    </xf>
    <xf numFmtId="0" fontId="19" fillId="4" borderId="3" xfId="0" applyFont="1" applyFill="1" applyBorder="1" applyAlignment="1">
      <alignment vertical="top"/>
    </xf>
    <xf numFmtId="0" fontId="20" fillId="0" borderId="3" xfId="0" applyFont="1" applyBorder="1"/>
    <xf numFmtId="0" fontId="21" fillId="3" borderId="0" xfId="1" applyFont="1" applyFill="1" applyBorder="1" applyAlignment="1" applyProtection="1">
      <alignment vertical="top" wrapText="1"/>
    </xf>
    <xf numFmtId="0" fontId="8" fillId="3" borderId="2" xfId="0" applyFont="1" applyFill="1" applyBorder="1" applyAlignment="1">
      <alignment horizontal="left" vertical="center"/>
    </xf>
    <xf numFmtId="0" fontId="9" fillId="0" borderId="3" xfId="1" applyFont="1" applyFill="1" applyBorder="1" applyAlignment="1" applyProtection="1">
      <alignment horizontal="left" vertical="center" wrapText="1"/>
      <protection locked="0" hidden="1"/>
    </xf>
    <xf numFmtId="0" fontId="22" fillId="12" borderId="19" xfId="0" applyFont="1" applyFill="1" applyBorder="1" applyAlignment="1">
      <alignment horizontal="center" wrapText="1"/>
    </xf>
    <xf numFmtId="0" fontId="22" fillId="12" borderId="20" xfId="0" applyFont="1" applyFill="1" applyBorder="1" applyAlignment="1">
      <alignment horizontal="center" wrapText="1"/>
    </xf>
    <xf numFmtId="0" fontId="9" fillId="6" borderId="3" xfId="0" applyFont="1" applyFill="1" applyBorder="1" applyAlignment="1" applyProtection="1">
      <alignment vertical="center" wrapText="1"/>
      <protection hidden="1"/>
    </xf>
    <xf numFmtId="0" fontId="0" fillId="0" borderId="3" xfId="0" applyBorder="1"/>
    <xf numFmtId="0" fontId="0" fillId="10" borderId="3" xfId="0" applyFont="1" applyFill="1" applyBorder="1" applyAlignment="1" applyProtection="1">
      <alignment wrapText="1"/>
      <protection hidden="1"/>
    </xf>
    <xf numFmtId="164" fontId="7" fillId="5" borderId="3" xfId="0" applyNumberFormat="1" applyFont="1" applyFill="1" applyBorder="1" applyAlignment="1" applyProtection="1">
      <alignment horizontal="right" vertical="center"/>
      <protection hidden="1"/>
    </xf>
    <xf numFmtId="0" fontId="9" fillId="0" borderId="3" xfId="0" applyFont="1" applyFill="1" applyBorder="1" applyAlignment="1" applyProtection="1">
      <alignment vertical="center" wrapText="1"/>
      <protection locked="0"/>
    </xf>
    <xf numFmtId="164" fontId="7" fillId="10" borderId="3" xfId="0" applyNumberFormat="1" applyFont="1" applyFill="1" applyBorder="1" applyAlignment="1" applyProtection="1">
      <alignment horizontal="right" vertical="center"/>
      <protection hidden="1"/>
    </xf>
    <xf numFmtId="44" fontId="9" fillId="6" borderId="3" xfId="1" applyNumberFormat="1" applyFont="1" applyFill="1" applyBorder="1" applyAlignment="1" applyProtection="1">
      <alignment horizontal="right" vertical="center" wrapText="1"/>
    </xf>
    <xf numFmtId="164" fontId="10" fillId="10" borderId="3" xfId="1" applyNumberFormat="1" applyFont="1" applyFill="1" applyBorder="1" applyAlignment="1" applyProtection="1">
      <alignment horizontal="right" vertical="center" wrapText="1"/>
    </xf>
    <xf numFmtId="0" fontId="10" fillId="3" borderId="0" xfId="1" applyFont="1" applyFill="1" applyBorder="1" applyAlignment="1" applyProtection="1">
      <alignment horizontal="center" vertical="center" wrapText="1"/>
    </xf>
    <xf numFmtId="0" fontId="9" fillId="3" borderId="3" xfId="1" applyFont="1" applyFill="1" applyBorder="1" applyAlignment="1" applyProtection="1">
      <alignment horizontal="left" vertical="top" wrapText="1"/>
    </xf>
    <xf numFmtId="164" fontId="7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9" xfId="0" applyFont="1" applyBorder="1" applyAlignment="1">
      <alignment horizontal="center" wrapText="1"/>
    </xf>
    <xf numFmtId="8" fontId="7" fillId="0" borderId="20" xfId="0" applyNumberFormat="1" applyFont="1" applyBorder="1" applyAlignment="1">
      <alignment horizontal="right" wrapText="1"/>
    </xf>
    <xf numFmtId="0" fontId="7" fillId="0" borderId="21" xfId="0" applyFont="1" applyBorder="1" applyAlignment="1">
      <alignment horizontal="center" wrapText="1"/>
    </xf>
    <xf numFmtId="8" fontId="7" fillId="0" borderId="12" xfId="0" applyNumberFormat="1" applyFont="1" applyBorder="1" applyAlignment="1">
      <alignment horizontal="right" wrapText="1"/>
    </xf>
    <xf numFmtId="0" fontId="0" fillId="0" borderId="16" xfId="0" applyBorder="1"/>
    <xf numFmtId="0" fontId="0" fillId="0" borderId="22" xfId="0" applyBorder="1"/>
    <xf numFmtId="8" fontId="0" fillId="0" borderId="3" xfId="0" applyNumberFormat="1" applyFont="1" applyBorder="1" applyAlignment="1">
      <alignment horizontal="right" wrapText="1"/>
    </xf>
    <xf numFmtId="0" fontId="0" fillId="0" borderId="22" xfId="0" applyFont="1" applyBorder="1"/>
    <xf numFmtId="8" fontId="0" fillId="0" borderId="12" xfId="0" applyNumberFormat="1" applyFont="1" applyBorder="1" applyAlignment="1">
      <alignment horizontal="right" wrapText="1"/>
    </xf>
    <xf numFmtId="0" fontId="8" fillId="6" borderId="3" xfId="0" applyFont="1" applyFill="1" applyBorder="1" applyAlignment="1" applyProtection="1">
      <alignment vertical="center" wrapText="1"/>
      <protection hidden="1"/>
    </xf>
    <xf numFmtId="0" fontId="0" fillId="10" borderId="3" xfId="0" applyFill="1" applyBorder="1" applyAlignment="1">
      <alignment horizontal="center" wrapText="1"/>
    </xf>
    <xf numFmtId="165" fontId="24" fillId="10" borderId="3" xfId="0" applyNumberFormat="1" applyFont="1" applyFill="1" applyBorder="1" applyAlignment="1">
      <alignment horizontal="right" vertical="center"/>
    </xf>
    <xf numFmtId="0" fontId="9" fillId="6" borderId="16" xfId="0" applyFont="1" applyFill="1" applyBorder="1" applyAlignment="1" applyProtection="1">
      <alignment vertical="center" wrapText="1"/>
      <protection hidden="1"/>
    </xf>
    <xf numFmtId="0" fontId="9" fillId="3" borderId="2" xfId="1" applyFont="1" applyFill="1" applyBorder="1" applyAlignment="1" applyProtection="1">
      <alignment vertical="center" wrapText="1"/>
    </xf>
    <xf numFmtId="0" fontId="25" fillId="0" borderId="0" xfId="0" applyFont="1"/>
    <xf numFmtId="0" fontId="26" fillId="0" borderId="0" xfId="0" applyFont="1" applyFill="1" applyBorder="1"/>
    <xf numFmtId="0" fontId="27" fillId="0" borderId="3" xfId="0" applyFont="1" applyBorder="1" applyAlignment="1" applyProtection="1">
      <alignment horizontal="left" vertical="center" wrapText="1"/>
      <protection locked="0" hidden="1"/>
    </xf>
    <xf numFmtId="164" fontId="0" fillId="0" borderId="0" xfId="0" applyNumberFormat="1"/>
    <xf numFmtId="0" fontId="7" fillId="10" borderId="3" xfId="0" applyFont="1" applyFill="1" applyBorder="1" applyAlignment="1">
      <alignment horizontal="center" vertical="center" wrapText="1"/>
    </xf>
    <xf numFmtId="164" fontId="0" fillId="13" borderId="3" xfId="0" applyNumberFormat="1" applyFont="1" applyFill="1" applyBorder="1" applyProtection="1">
      <protection hidden="1"/>
    </xf>
    <xf numFmtId="0" fontId="0" fillId="10" borderId="3" xfId="0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10" borderId="18" xfId="0" applyFill="1" applyBorder="1" applyAlignment="1">
      <alignment vertical="center" wrapText="1"/>
    </xf>
    <xf numFmtId="164" fontId="7" fillId="0" borderId="3" xfId="0" applyNumberFormat="1" applyFont="1" applyBorder="1"/>
    <xf numFmtId="0" fontId="27" fillId="0" borderId="3" xfId="0" applyFont="1" applyBorder="1" applyProtection="1">
      <protection locked="0"/>
    </xf>
    <xf numFmtId="0" fontId="28" fillId="3" borderId="0" xfId="1" applyFont="1" applyFill="1" applyBorder="1" applyAlignment="1" applyProtection="1">
      <alignment vertical="top"/>
    </xf>
    <xf numFmtId="0" fontId="0" fillId="10" borderId="3" xfId="0" applyFont="1" applyFill="1" applyBorder="1" applyAlignment="1">
      <alignment horizontal="left" vertical="center"/>
    </xf>
    <xf numFmtId="0" fontId="7" fillId="0" borderId="0" xfId="0" applyFont="1" applyProtection="1">
      <protection hidden="1"/>
    </xf>
    <xf numFmtId="0" fontId="9" fillId="3" borderId="0" xfId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0" fontId="29" fillId="3" borderId="11" xfId="1" applyFont="1" applyFill="1" applyBorder="1" applyAlignment="1" applyProtection="1">
      <alignment vertical="top"/>
    </xf>
    <xf numFmtId="0" fontId="13" fillId="0" borderId="22" xfId="0" applyFon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13" fillId="0" borderId="3" xfId="0" applyFont="1" applyBorder="1" applyProtection="1">
      <protection locked="0"/>
    </xf>
    <xf numFmtId="0" fontId="13" fillId="0" borderId="22" xfId="0" applyFont="1" applyFill="1" applyBorder="1" applyAlignment="1" applyProtection="1">
      <alignment wrapText="1"/>
      <protection locked="0"/>
    </xf>
    <xf numFmtId="0" fontId="13" fillId="0" borderId="3" xfId="0" applyFont="1" applyFill="1" applyBorder="1" applyProtection="1"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49" fontId="13" fillId="0" borderId="22" xfId="0" applyNumberFormat="1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Border="1" applyProtection="1">
      <protection locked="0"/>
    </xf>
    <xf numFmtId="4" fontId="30" fillId="5" borderId="22" xfId="0" applyNumberFormat="1" applyFont="1" applyFill="1" applyBorder="1" applyProtection="1">
      <protection locked="0"/>
    </xf>
    <xf numFmtId="164" fontId="0" fillId="0" borderId="22" xfId="0" applyNumberFormat="1" applyBorder="1" applyProtection="1"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49" fontId="13" fillId="0" borderId="3" xfId="0" applyNumberFormat="1" applyFont="1" applyBorder="1" applyAlignment="1" applyProtection="1">
      <alignment horizontal="left" vertical="center" wrapText="1"/>
      <protection locked="0"/>
    </xf>
    <xf numFmtId="164" fontId="0" fillId="0" borderId="3" xfId="0" applyNumberFormat="1" applyBorder="1" applyProtection="1"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49" fontId="13" fillId="0" borderId="16" xfId="0" applyNumberFormat="1" applyFont="1" applyBorder="1" applyAlignment="1" applyProtection="1">
      <alignment horizontal="left" vertical="center" wrapText="1"/>
      <protection locked="0"/>
    </xf>
    <xf numFmtId="164" fontId="0" fillId="0" borderId="16" xfId="0" applyNumberFormat="1" applyBorder="1" applyProtection="1"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49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/>
      <protection locked="0"/>
    </xf>
    <xf numFmtId="49" fontId="1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right" vertical="center" wrapText="1"/>
      <protection hidden="1"/>
    </xf>
    <xf numFmtId="0" fontId="1" fillId="0" borderId="3" xfId="0" applyFont="1" applyFill="1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38" fillId="0" borderId="3" xfId="0" applyFont="1" applyFill="1" applyBorder="1"/>
    <xf numFmtId="0" fontId="0" fillId="0" borderId="3" xfId="0" applyBorder="1" applyAlignment="1">
      <alignment horizontal="center"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/>
    <xf numFmtId="44" fontId="23" fillId="0" borderId="12" xfId="2" applyFont="1" applyBorder="1" applyAlignment="1">
      <alignment horizontal="right" wrapText="1"/>
    </xf>
    <xf numFmtId="0" fontId="9" fillId="14" borderId="23" xfId="1" applyFont="1" applyFill="1" applyBorder="1" applyAlignment="1" applyProtection="1">
      <alignment horizontal="left" vertical="center" wrapText="1"/>
      <protection locked="0"/>
    </xf>
    <xf numFmtId="0" fontId="9" fillId="14" borderId="24" xfId="1" applyFont="1" applyFill="1" applyBorder="1" applyAlignment="1" applyProtection="1">
      <alignment horizontal="left" vertical="center" wrapText="1"/>
      <protection locked="0"/>
    </xf>
    <xf numFmtId="0" fontId="9" fillId="14" borderId="17" xfId="1" applyFont="1" applyFill="1" applyBorder="1" applyAlignment="1" applyProtection="1">
      <alignment horizontal="left" vertical="center" wrapText="1"/>
      <protection locked="0"/>
    </xf>
    <xf numFmtId="0" fontId="9" fillId="14" borderId="15" xfId="1" applyFont="1" applyFill="1" applyBorder="1" applyAlignment="1" applyProtection="1">
      <alignment horizontal="center" vertical="top" wrapText="1"/>
    </xf>
    <xf numFmtId="0" fontId="9" fillId="14" borderId="14" xfId="1" applyFont="1" applyFill="1" applyBorder="1" applyAlignment="1" applyProtection="1">
      <alignment horizontal="center" vertical="top" wrapText="1"/>
    </xf>
    <xf numFmtId="0" fontId="9" fillId="14" borderId="25" xfId="1" applyFont="1" applyFill="1" applyBorder="1" applyAlignment="1" applyProtection="1">
      <alignment horizontal="center" vertical="top" wrapText="1"/>
    </xf>
    <xf numFmtId="0" fontId="9" fillId="14" borderId="26" xfId="1" applyFont="1" applyFill="1" applyBorder="1" applyAlignment="1" applyProtection="1">
      <alignment horizontal="center" vertical="top" wrapText="1"/>
    </xf>
    <xf numFmtId="0" fontId="9" fillId="14" borderId="0" xfId="1" applyFont="1" applyFill="1" applyBorder="1" applyAlignment="1" applyProtection="1">
      <alignment horizontal="center" vertical="top" wrapText="1"/>
    </xf>
    <xf numFmtId="0" fontId="9" fillId="14" borderId="13" xfId="1" applyFont="1" applyFill="1" applyBorder="1" applyAlignment="1" applyProtection="1">
      <alignment horizontal="center" vertical="top" wrapText="1"/>
    </xf>
    <xf numFmtId="0" fontId="9" fillId="14" borderId="27" xfId="1" applyFont="1" applyFill="1" applyBorder="1" applyAlignment="1" applyProtection="1">
      <alignment horizontal="center" vertical="top" wrapText="1"/>
    </xf>
    <xf numFmtId="0" fontId="9" fillId="14" borderId="1" xfId="1" applyFont="1" applyFill="1" applyBorder="1" applyAlignment="1" applyProtection="1">
      <alignment horizontal="center" vertical="top" wrapText="1"/>
    </xf>
    <xf numFmtId="0" fontId="9" fillId="14" borderId="28" xfId="1" applyFont="1" applyFill="1" applyBorder="1" applyAlignment="1" applyProtection="1">
      <alignment horizontal="center" vertical="top" wrapText="1"/>
    </xf>
    <xf numFmtId="0" fontId="9" fillId="3" borderId="23" xfId="1" applyFont="1" applyFill="1" applyBorder="1" applyAlignment="1" applyProtection="1">
      <alignment horizontal="left" vertical="top" wrapText="1"/>
    </xf>
    <xf numFmtId="0" fontId="9" fillId="3" borderId="24" xfId="1" applyFont="1" applyFill="1" applyBorder="1" applyAlignment="1" applyProtection="1">
      <alignment horizontal="left" vertical="top" wrapText="1"/>
    </xf>
    <xf numFmtId="0" fontId="9" fillId="3" borderId="17" xfId="1" applyFont="1" applyFill="1" applyBorder="1" applyAlignment="1" applyProtection="1">
      <alignment horizontal="left" vertical="top" wrapText="1"/>
    </xf>
    <xf numFmtId="0" fontId="3" fillId="3" borderId="3" xfId="1" applyFont="1" applyFill="1" applyBorder="1" applyAlignment="1" applyProtection="1">
      <alignment horizontal="left" vertical="top" wrapText="1"/>
    </xf>
    <xf numFmtId="0" fontId="9" fillId="3" borderId="0" xfId="1" applyFont="1" applyFill="1" applyBorder="1" applyAlignment="1" applyProtection="1">
      <alignment horizontal="right" vertical="center" wrapText="1"/>
    </xf>
    <xf numFmtId="0" fontId="9" fillId="3" borderId="13" xfId="1" applyFont="1" applyFill="1" applyBorder="1" applyAlignment="1" applyProtection="1">
      <alignment horizontal="right" vertical="center" wrapText="1"/>
    </xf>
    <xf numFmtId="0" fontId="9" fillId="3" borderId="2" xfId="1" applyFont="1" applyFill="1" applyBorder="1" applyAlignment="1" applyProtection="1">
      <alignment horizontal="right" vertical="center" wrapText="1"/>
    </xf>
    <xf numFmtId="0" fontId="9" fillId="3" borderId="0" xfId="1" applyFont="1" applyFill="1" applyBorder="1" applyAlignment="1" applyProtection="1">
      <alignment horizontal="center" wrapText="1"/>
    </xf>
    <xf numFmtId="0" fontId="9" fillId="3" borderId="1" xfId="1" applyFont="1" applyFill="1" applyBorder="1" applyAlignment="1" applyProtection="1">
      <alignment horizontal="center" wrapText="1"/>
    </xf>
    <xf numFmtId="0" fontId="32" fillId="2" borderId="0" xfId="1" applyFont="1" applyFill="1" applyBorder="1" applyAlignment="1" applyProtection="1">
      <alignment horizontal="right" vertical="center"/>
    </xf>
    <xf numFmtId="0" fontId="32" fillId="2" borderId="13" xfId="1" applyFont="1" applyFill="1" applyBorder="1" applyAlignment="1" applyProtection="1">
      <alignment horizontal="right" vertical="center"/>
    </xf>
    <xf numFmtId="0" fontId="33" fillId="3" borderId="2" xfId="1" applyFont="1" applyFill="1" applyBorder="1" applyAlignment="1" applyProtection="1">
      <alignment horizontal="left" vertical="center" wrapText="1" indent="20"/>
    </xf>
    <xf numFmtId="0" fontId="33" fillId="3" borderId="0" xfId="1" applyFont="1" applyFill="1" applyBorder="1" applyAlignment="1" applyProtection="1">
      <alignment horizontal="left" vertical="center" wrapText="1" indent="20"/>
    </xf>
    <xf numFmtId="0" fontId="34" fillId="3" borderId="2" xfId="1" applyFont="1" applyFill="1" applyBorder="1" applyAlignment="1" applyProtection="1">
      <alignment horizontal="left" vertical="center" wrapText="1" indent="30"/>
    </xf>
    <xf numFmtId="0" fontId="34" fillId="3" borderId="0" xfId="1" applyFont="1" applyFill="1" applyBorder="1" applyAlignment="1" applyProtection="1">
      <alignment horizontal="left" vertical="center" wrapText="1" indent="30"/>
    </xf>
    <xf numFmtId="0" fontId="8" fillId="15" borderId="24" xfId="1" applyFont="1" applyFill="1" applyBorder="1" applyAlignment="1" applyProtection="1">
      <alignment horizontal="center" vertical="top"/>
    </xf>
    <xf numFmtId="0" fontId="9" fillId="3" borderId="0" xfId="1" applyFont="1" applyFill="1" applyBorder="1" applyAlignment="1" applyProtection="1">
      <alignment horizontal="center" vertical="top" wrapText="1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9" fillId="6" borderId="23" xfId="0" applyFont="1" applyFill="1" applyBorder="1" applyAlignment="1" applyProtection="1">
      <alignment horizontal="left" vertical="center" wrapText="1"/>
    </xf>
    <xf numFmtId="0" fontId="9" fillId="6" borderId="24" xfId="0" applyFont="1" applyFill="1" applyBorder="1" applyAlignment="1" applyProtection="1">
      <alignment horizontal="left" vertical="center" wrapText="1"/>
    </xf>
    <xf numFmtId="0" fontId="9" fillId="6" borderId="17" xfId="0" applyFont="1" applyFill="1" applyBorder="1" applyAlignment="1" applyProtection="1">
      <alignment horizontal="left" vertical="center" wrapText="1"/>
    </xf>
    <xf numFmtId="0" fontId="12" fillId="10" borderId="23" xfId="0" applyFont="1" applyFill="1" applyBorder="1" applyAlignment="1" applyProtection="1">
      <alignment horizontal="left"/>
      <protection hidden="1"/>
    </xf>
    <xf numFmtId="0" fontId="12" fillId="10" borderId="17" xfId="0" applyFont="1" applyFill="1" applyBorder="1" applyAlignment="1" applyProtection="1">
      <alignment horizontal="left"/>
      <protection hidden="1"/>
    </xf>
    <xf numFmtId="0" fontId="10" fillId="10" borderId="3" xfId="0" applyFont="1" applyFill="1" applyBorder="1" applyAlignment="1" applyProtection="1">
      <alignment horizontal="center" vertical="center" wrapText="1"/>
      <protection hidden="1"/>
    </xf>
    <xf numFmtId="0" fontId="35" fillId="9" borderId="3" xfId="0" applyFont="1" applyFill="1" applyBorder="1" applyAlignment="1" applyProtection="1">
      <alignment horizontal="left" vertical="top"/>
      <protection hidden="1"/>
    </xf>
    <xf numFmtId="164" fontId="15" fillId="16" borderId="17" xfId="0" applyNumberFormat="1" applyFont="1" applyFill="1" applyBorder="1" applyAlignment="1" applyProtection="1">
      <alignment vertical="top"/>
      <protection hidden="1"/>
    </xf>
    <xf numFmtId="164" fontId="15" fillId="16" borderId="3" xfId="0" applyNumberFormat="1" applyFont="1" applyFill="1" applyBorder="1" applyAlignment="1" applyProtection="1">
      <alignment vertical="top"/>
      <protection hidden="1"/>
    </xf>
    <xf numFmtId="164" fontId="15" fillId="10" borderId="17" xfId="0" applyNumberFormat="1" applyFont="1" applyFill="1" applyBorder="1" applyAlignment="1" applyProtection="1">
      <alignment vertical="top"/>
      <protection hidden="1"/>
    </xf>
    <xf numFmtId="164" fontId="15" fillId="17" borderId="3" xfId="0" applyNumberFormat="1" applyFont="1" applyFill="1" applyBorder="1" applyAlignment="1" applyProtection="1">
      <alignment vertical="top"/>
      <protection hidden="1"/>
    </xf>
    <xf numFmtId="164" fontId="15" fillId="16" borderId="23" xfId="0" applyNumberFormat="1" applyFont="1" applyFill="1" applyBorder="1" applyAlignment="1" applyProtection="1">
      <alignment horizontal="right" vertical="top"/>
      <protection hidden="1"/>
    </xf>
    <xf numFmtId="164" fontId="15" fillId="16" borderId="24" xfId="0" applyNumberFormat="1" applyFont="1" applyFill="1" applyBorder="1" applyAlignment="1" applyProtection="1">
      <alignment horizontal="right" vertical="top"/>
      <protection hidden="1"/>
    </xf>
    <xf numFmtId="164" fontId="15" fillId="16" borderId="17" xfId="0" applyNumberFormat="1" applyFont="1" applyFill="1" applyBorder="1" applyAlignment="1" applyProtection="1">
      <alignment horizontal="right" vertical="top"/>
      <protection hidden="1"/>
    </xf>
    <xf numFmtId="164" fontId="13" fillId="0" borderId="23" xfId="0" applyNumberFormat="1" applyFont="1" applyBorder="1" applyAlignment="1" applyProtection="1">
      <alignment horizontal="right" vertical="top"/>
      <protection hidden="1"/>
    </xf>
    <xf numFmtId="164" fontId="13" fillId="0" borderId="24" xfId="0" applyNumberFormat="1" applyFont="1" applyBorder="1" applyAlignment="1" applyProtection="1">
      <alignment horizontal="right" vertical="top"/>
      <protection hidden="1"/>
    </xf>
    <xf numFmtId="164" fontId="13" fillId="0" borderId="17" xfId="0" applyNumberFormat="1" applyFont="1" applyBorder="1" applyAlignment="1" applyProtection="1">
      <alignment horizontal="right" vertical="top"/>
      <protection hidden="1"/>
    </xf>
    <xf numFmtId="0" fontId="10" fillId="5" borderId="3" xfId="0" applyFont="1" applyFill="1" applyBorder="1" applyAlignment="1" applyProtection="1">
      <alignment horizontal="left" vertical="center" wrapText="1"/>
      <protection hidden="1"/>
    </xf>
    <xf numFmtId="0" fontId="10" fillId="5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5" fillId="9" borderId="3" xfId="0" applyFont="1" applyFill="1" applyBorder="1" applyAlignment="1">
      <alignment horizontal="left" vertical="top"/>
    </xf>
    <xf numFmtId="0" fontId="35" fillId="9" borderId="15" xfId="0" applyFont="1" applyFill="1" applyBorder="1" applyAlignment="1" applyProtection="1">
      <alignment horizontal="center" vertical="center" wrapText="1"/>
      <protection hidden="1"/>
    </xf>
    <xf numFmtId="0" fontId="35" fillId="9" borderId="14" xfId="0" applyFont="1" applyFill="1" applyBorder="1" applyAlignment="1" applyProtection="1">
      <alignment horizontal="center" vertical="center" wrapText="1"/>
      <protection hidden="1"/>
    </xf>
    <xf numFmtId="0" fontId="35" fillId="9" borderId="25" xfId="0" applyFont="1" applyFill="1" applyBorder="1" applyAlignment="1" applyProtection="1">
      <alignment horizontal="center" vertical="center" wrapText="1"/>
      <protection hidden="1"/>
    </xf>
    <xf numFmtId="0" fontId="35" fillId="9" borderId="27" xfId="0" applyFont="1" applyFill="1" applyBorder="1" applyAlignment="1" applyProtection="1">
      <alignment horizontal="center" vertical="center" wrapText="1"/>
      <protection hidden="1"/>
    </xf>
    <xf numFmtId="0" fontId="35" fillId="9" borderId="1" xfId="0" applyFont="1" applyFill="1" applyBorder="1" applyAlignment="1" applyProtection="1">
      <alignment horizontal="center" vertical="center" wrapText="1"/>
      <protection hidden="1"/>
    </xf>
    <xf numFmtId="0" fontId="35" fillId="9" borderId="28" xfId="0" applyFont="1" applyFill="1" applyBorder="1" applyAlignment="1" applyProtection="1">
      <alignment horizontal="center" vertical="center" wrapText="1"/>
      <protection hidden="1"/>
    </xf>
    <xf numFmtId="0" fontId="15" fillId="10" borderId="3" xfId="0" applyFont="1" applyFill="1" applyBorder="1" applyAlignment="1" applyProtection="1">
      <alignment horizontal="center" vertical="center" wrapText="1"/>
      <protection hidden="1"/>
    </xf>
    <xf numFmtId="0" fontId="10" fillId="10" borderId="3" xfId="0" applyFont="1" applyFill="1" applyBorder="1" applyAlignment="1">
      <alignment horizontal="center" vertical="top"/>
    </xf>
    <xf numFmtId="164" fontId="15" fillId="10" borderId="23" xfId="0" applyNumberFormat="1" applyFont="1" applyFill="1" applyBorder="1" applyAlignment="1" applyProtection="1">
      <alignment vertical="top"/>
      <protection hidden="1"/>
    </xf>
    <xf numFmtId="164" fontId="15" fillId="10" borderId="24" xfId="0" applyNumberFormat="1" applyFont="1" applyFill="1" applyBorder="1" applyAlignment="1" applyProtection="1">
      <alignment vertical="top"/>
      <protection hidden="1"/>
    </xf>
    <xf numFmtId="164" fontId="15" fillId="10" borderId="23" xfId="0" applyNumberFormat="1" applyFont="1" applyFill="1" applyBorder="1" applyAlignment="1" applyProtection="1">
      <alignment horizontal="right" vertical="top"/>
      <protection hidden="1"/>
    </xf>
    <xf numFmtId="164" fontId="15" fillId="10" borderId="24" xfId="0" applyNumberFormat="1" applyFont="1" applyFill="1" applyBorder="1" applyAlignment="1" applyProtection="1">
      <alignment horizontal="right" vertical="top"/>
      <protection hidden="1"/>
    </xf>
    <xf numFmtId="164" fontId="15" fillId="10" borderId="17" xfId="0" applyNumberFormat="1" applyFont="1" applyFill="1" applyBorder="1" applyAlignment="1" applyProtection="1">
      <alignment horizontal="right" vertical="top"/>
      <protection hidden="1"/>
    </xf>
    <xf numFmtId="0" fontId="10" fillId="10" borderId="3" xfId="0" applyFont="1" applyFill="1" applyBorder="1" applyAlignment="1" applyProtection="1">
      <alignment horizontal="center" vertical="top"/>
      <protection hidden="1"/>
    </xf>
    <xf numFmtId="0" fontId="35" fillId="9" borderId="23" xfId="0" applyFont="1" applyFill="1" applyBorder="1" applyAlignment="1">
      <alignment horizontal="left" vertical="top"/>
    </xf>
    <xf numFmtId="0" fontId="35" fillId="9" borderId="24" xfId="0" applyFont="1" applyFill="1" applyBorder="1" applyAlignment="1">
      <alignment horizontal="left" vertical="top"/>
    </xf>
    <xf numFmtId="0" fontId="35" fillId="9" borderId="17" xfId="0" applyFont="1" applyFill="1" applyBorder="1" applyAlignment="1">
      <alignment horizontal="left" vertical="top"/>
    </xf>
    <xf numFmtId="0" fontId="10" fillId="5" borderId="3" xfId="0" applyFont="1" applyFill="1" applyBorder="1" applyAlignment="1" applyProtection="1">
      <alignment horizontal="center" vertical="center" wrapText="1"/>
      <protection hidden="1"/>
    </xf>
    <xf numFmtId="0" fontId="36" fillId="5" borderId="3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top" wrapText="1"/>
    </xf>
    <xf numFmtId="0" fontId="7" fillId="6" borderId="2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6" borderId="3" xfId="0" applyFont="1" applyFill="1" applyBorder="1" applyAlignment="1">
      <alignment horizontal="center" vertical="top" wrapText="1"/>
    </xf>
    <xf numFmtId="164" fontId="7" fillId="10" borderId="23" xfId="0" applyNumberFormat="1" applyFont="1" applyFill="1" applyBorder="1" applyAlignment="1">
      <alignment horizontal="right" vertical="center"/>
    </xf>
    <xf numFmtId="164" fontId="7" fillId="10" borderId="17" xfId="0" applyNumberFormat="1" applyFont="1" applyFill="1" applyBorder="1" applyAlignment="1">
      <alignment horizontal="right" vertical="center"/>
    </xf>
    <xf numFmtId="0" fontId="7" fillId="6" borderId="17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164" fontId="7" fillId="10" borderId="23" xfId="0" applyNumberFormat="1" applyFont="1" applyFill="1" applyBorder="1" applyAlignment="1">
      <alignment horizontal="right" vertical="center" wrapText="1"/>
    </xf>
    <xf numFmtId="0" fontId="7" fillId="10" borderId="17" xfId="0" applyFont="1" applyFill="1" applyBorder="1" applyAlignment="1">
      <alignment horizontal="right" vertical="center" wrapText="1"/>
    </xf>
    <xf numFmtId="0" fontId="9" fillId="6" borderId="3" xfId="0" applyFont="1" applyFill="1" applyBorder="1" applyAlignment="1" applyProtection="1">
      <alignment horizontal="left" vertical="center" wrapText="1"/>
      <protection hidden="1"/>
    </xf>
    <xf numFmtId="0" fontId="11" fillId="10" borderId="23" xfId="0" applyFont="1" applyFill="1" applyBorder="1" applyAlignment="1" applyProtection="1">
      <alignment horizontal="left" vertical="center" wrapText="1"/>
      <protection hidden="1"/>
    </xf>
    <xf numFmtId="0" fontId="11" fillId="10" borderId="24" xfId="0" applyFont="1" applyFill="1" applyBorder="1" applyAlignment="1" applyProtection="1">
      <alignment horizontal="left" vertical="center" wrapText="1"/>
      <protection hidden="1"/>
    </xf>
    <xf numFmtId="0" fontId="11" fillId="10" borderId="17" xfId="0" applyFont="1" applyFill="1" applyBorder="1" applyAlignment="1" applyProtection="1">
      <alignment horizontal="left" vertical="center" wrapText="1"/>
      <protection hidden="1"/>
    </xf>
    <xf numFmtId="0" fontId="11" fillId="10" borderId="23" xfId="0" applyFont="1" applyFill="1" applyBorder="1" applyAlignment="1" applyProtection="1">
      <alignment horizontal="right" vertical="center" wrapText="1"/>
      <protection hidden="1"/>
    </xf>
    <xf numFmtId="0" fontId="11" fillId="10" borderId="24" xfId="0" applyFont="1" applyFill="1" applyBorder="1" applyAlignment="1" applyProtection="1">
      <alignment horizontal="right" vertical="center" wrapText="1"/>
      <protection hidden="1"/>
    </xf>
    <xf numFmtId="0" fontId="11" fillId="10" borderId="17" xfId="0" applyFont="1" applyFill="1" applyBorder="1" applyAlignment="1" applyProtection="1">
      <alignment horizontal="right" vertical="center" wrapText="1"/>
      <protection hidden="1"/>
    </xf>
    <xf numFmtId="0" fontId="7" fillId="6" borderId="3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7" xfId="0" applyFont="1" applyFill="1" applyBorder="1" applyAlignment="1" applyProtection="1">
      <alignment horizontal="left" vertical="center" wrapText="1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25" xfId="0" applyFont="1" applyFill="1" applyBorder="1" applyAlignment="1" applyProtection="1">
      <alignment horizontal="center" vertical="center"/>
      <protection hidden="1"/>
    </xf>
    <xf numFmtId="0" fontId="31" fillId="0" borderId="3" xfId="0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Border="1" applyAlignment="1">
      <alignment vertical="center" wrapText="1"/>
    </xf>
    <xf numFmtId="8" fontId="7" fillId="0" borderId="29" xfId="0" applyNumberFormat="1" applyFont="1" applyBorder="1" applyAlignment="1">
      <alignment horizontal="center" wrapText="1"/>
    </xf>
    <xf numFmtId="8" fontId="7" fillId="0" borderId="30" xfId="0" applyNumberFormat="1" applyFont="1" applyBorder="1" applyAlignment="1">
      <alignment horizontal="center" wrapText="1"/>
    </xf>
    <xf numFmtId="8" fontId="7" fillId="0" borderId="21" xfId="0" applyNumberFormat="1" applyFont="1" applyBorder="1" applyAlignment="1">
      <alignment horizontal="center" wrapText="1"/>
    </xf>
  </cellXfs>
  <cellStyles count="3">
    <cellStyle name="Currency" xfId="2" builtinId="4"/>
    <cellStyle name="Normal" xfId="0" builtinId="0"/>
    <cellStyle name="Βασικό_Φύλλο1" xfId="1"/>
  </cellStyles>
  <dxfs count="100"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</font>
      <fill>
        <patternFill patternType="solid"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FFCC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FFCC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FFCC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FFCC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rgb="FFFFFFCC"/>
      </font>
    </dxf>
    <dxf>
      <font>
        <b/>
        <i val="0"/>
        <color rgb="FFFF0000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FFCC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rgb="FFFFFFCC"/>
      </font>
    </dxf>
    <dxf>
      <font>
        <b/>
        <i val="0"/>
        <color rgb="FFFF0000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rgb="FFFFFFCC"/>
      </font>
    </dxf>
    <dxf>
      <font>
        <b/>
        <i val="0"/>
        <color rgb="FFFF0000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rgb="FFFFFFCC"/>
      </font>
    </dxf>
    <dxf>
      <font>
        <b/>
        <i val="0"/>
        <color rgb="FFFF000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0</xdr:row>
      <xdr:rowOff>33618</xdr:rowOff>
    </xdr:from>
    <xdr:to>
      <xdr:col>5</xdr:col>
      <xdr:colOff>202463</xdr:colOff>
      <xdr:row>4</xdr:row>
      <xdr:rowOff>119237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3618"/>
          <a:ext cx="2914286" cy="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48"/>
  <sheetViews>
    <sheetView zoomScaleSheetLayoutView="85" workbookViewId="0">
      <selection activeCell="C18" sqref="C18"/>
    </sheetView>
  </sheetViews>
  <sheetFormatPr defaultRowHeight="15"/>
  <cols>
    <col min="1" max="1" width="2.28515625" style="1" customWidth="1"/>
    <col min="2" max="2" width="8" style="1" customWidth="1"/>
    <col min="3" max="3" width="16.140625" style="1" customWidth="1"/>
    <col min="4" max="4" width="5.140625" style="1" customWidth="1"/>
    <col min="5" max="5" width="9.140625" style="1"/>
    <col min="6" max="6" width="11.140625" style="1" customWidth="1"/>
    <col min="7" max="7" width="9.42578125" style="1" customWidth="1"/>
    <col min="8" max="8" width="10.42578125" style="1" customWidth="1"/>
    <col min="9" max="9" width="14.85546875" style="1" customWidth="1"/>
    <col min="10" max="10" width="3.85546875" style="1" customWidth="1"/>
    <col min="11" max="11" width="1" style="1" customWidth="1"/>
    <col min="12" max="12" width="7.7109375" style="1" hidden="1" customWidth="1"/>
    <col min="13" max="16384" width="9.140625" style="1"/>
  </cols>
  <sheetData>
    <row r="1" spans="1:12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2">
      <c r="A2" s="14"/>
      <c r="B2" s="3"/>
      <c r="C2" s="3"/>
      <c r="D2" s="4"/>
      <c r="E2" s="3"/>
      <c r="F2" s="3"/>
      <c r="G2" s="179" t="s">
        <v>3</v>
      </c>
      <c r="H2" s="180"/>
      <c r="I2" s="185"/>
      <c r="J2" s="185"/>
      <c r="K2" s="25"/>
      <c r="L2" s="2"/>
    </row>
    <row r="3" spans="1:12">
      <c r="A3" s="14"/>
      <c r="B3" s="3"/>
      <c r="C3" s="3"/>
      <c r="D3" s="4"/>
      <c r="E3" s="3"/>
      <c r="F3" s="3"/>
      <c r="G3" s="179" t="s">
        <v>1</v>
      </c>
      <c r="H3" s="180"/>
      <c r="I3" s="185"/>
      <c r="J3" s="185"/>
      <c r="K3" s="25"/>
      <c r="L3" s="2"/>
    </row>
    <row r="4" spans="1:12">
      <c r="A4" s="14"/>
      <c r="B4" s="3"/>
      <c r="C4" s="3"/>
      <c r="D4" s="4"/>
      <c r="E4" s="3"/>
      <c r="F4" s="3"/>
      <c r="G4" s="179" t="s">
        <v>2</v>
      </c>
      <c r="H4" s="180"/>
      <c r="I4" s="185"/>
      <c r="J4" s="185"/>
      <c r="K4" s="25"/>
      <c r="L4" s="2"/>
    </row>
    <row r="5" spans="1:12">
      <c r="A5" s="14"/>
      <c r="B5" s="3"/>
      <c r="C5" s="3"/>
      <c r="D5" s="4"/>
      <c r="E5" s="3"/>
      <c r="F5" s="3"/>
      <c r="G5" s="3"/>
      <c r="H5" s="3"/>
      <c r="I5" s="3"/>
      <c r="J5" s="3"/>
      <c r="K5" s="15"/>
      <c r="L5" s="2"/>
    </row>
    <row r="6" spans="1:12">
      <c r="A6" s="14"/>
      <c r="B6" s="3"/>
      <c r="C6" s="3"/>
      <c r="D6" s="4"/>
      <c r="E6" s="3"/>
      <c r="F6" s="3"/>
      <c r="G6" s="3"/>
      <c r="H6" s="3"/>
      <c r="I6" s="3"/>
      <c r="J6" s="3"/>
      <c r="K6" s="15"/>
    </row>
    <row r="7" spans="1:12">
      <c r="A7" s="16"/>
      <c r="B7" s="5"/>
      <c r="C7" s="5"/>
      <c r="D7" s="6"/>
      <c r="E7" s="5"/>
      <c r="F7" s="5"/>
      <c r="G7" s="5"/>
      <c r="H7" s="5"/>
      <c r="I7" s="5"/>
      <c r="J7" s="5"/>
      <c r="K7" s="17"/>
    </row>
    <row r="8" spans="1:12" ht="6" customHeight="1">
      <c r="A8" s="7"/>
      <c r="B8" s="8"/>
      <c r="C8" s="8"/>
      <c r="D8" s="118"/>
      <c r="E8" s="8"/>
      <c r="F8" s="8"/>
      <c r="G8" s="8"/>
      <c r="H8" s="8"/>
      <c r="I8" s="8"/>
      <c r="J8" s="8"/>
      <c r="K8" s="18"/>
    </row>
    <row r="9" spans="1:12" ht="3" customHeight="1">
      <c r="A9" s="7"/>
      <c r="B9" s="8"/>
      <c r="C9" s="8"/>
      <c r="D9" s="118"/>
      <c r="E9" s="8"/>
      <c r="F9" s="8"/>
      <c r="G9" s="8"/>
      <c r="H9" s="8"/>
      <c r="I9" s="8"/>
      <c r="J9" s="8"/>
      <c r="K9" s="18"/>
    </row>
    <row r="10" spans="1:12" ht="6" customHeight="1">
      <c r="A10" s="7"/>
      <c r="B10" s="8"/>
      <c r="C10" s="8"/>
      <c r="D10" s="118"/>
      <c r="E10" s="8"/>
      <c r="F10" s="8"/>
      <c r="G10" s="8"/>
      <c r="H10" s="8"/>
      <c r="I10" s="8"/>
      <c r="J10" s="8"/>
      <c r="K10" s="18"/>
    </row>
    <row r="11" spans="1:12" ht="26.25">
      <c r="A11" s="181" t="s">
        <v>0</v>
      </c>
      <c r="B11" s="182"/>
      <c r="C11" s="182"/>
      <c r="D11" s="182"/>
      <c r="E11" s="182"/>
      <c r="F11" s="182"/>
      <c r="G11" s="182"/>
      <c r="H11" s="182"/>
      <c r="I11" s="182"/>
      <c r="J11" s="8"/>
      <c r="K11" s="18"/>
    </row>
    <row r="12" spans="1:12" ht="15.75">
      <c r="A12" s="183" t="s">
        <v>631</v>
      </c>
      <c r="B12" s="184"/>
      <c r="C12" s="184"/>
      <c r="D12" s="184"/>
      <c r="E12" s="184"/>
      <c r="F12" s="184"/>
      <c r="G12" s="184"/>
      <c r="H12" s="184"/>
      <c r="I12" s="184"/>
      <c r="J12" s="8"/>
      <c r="K12" s="18"/>
    </row>
    <row r="13" spans="1:12" ht="8.25" customHeight="1">
      <c r="A13" s="7"/>
      <c r="B13" s="8"/>
      <c r="C13" s="186"/>
      <c r="D13" s="186"/>
      <c r="E13" s="186"/>
      <c r="F13" s="186"/>
      <c r="G13" s="186"/>
      <c r="H13" s="186"/>
      <c r="I13" s="186"/>
      <c r="J13" s="186"/>
      <c r="K13" s="18"/>
    </row>
    <row r="14" spans="1:12" ht="11.25" customHeight="1">
      <c r="A14" s="7"/>
      <c r="B14" s="8"/>
      <c r="C14" s="8"/>
      <c r="D14" s="118"/>
      <c r="E14" s="8"/>
      <c r="F14" s="8"/>
      <c r="G14" s="8"/>
      <c r="H14" s="8"/>
      <c r="I14" s="8"/>
      <c r="J14" s="8"/>
      <c r="K14" s="18"/>
    </row>
    <row r="15" spans="1:12">
      <c r="A15" s="19"/>
      <c r="B15" s="8"/>
      <c r="C15" s="119" t="s">
        <v>4</v>
      </c>
      <c r="D15" s="187"/>
      <c r="E15" s="190"/>
      <c r="F15" s="190"/>
      <c r="G15" s="190"/>
      <c r="H15" s="190"/>
      <c r="I15" s="191"/>
      <c r="J15" s="8"/>
      <c r="K15" s="18"/>
    </row>
    <row r="16" spans="1:12">
      <c r="A16" s="20"/>
      <c r="B16" s="8"/>
      <c r="C16" s="120" t="s">
        <v>5</v>
      </c>
      <c r="D16" s="187"/>
      <c r="E16" s="188"/>
      <c r="F16" s="188"/>
      <c r="G16" s="188"/>
      <c r="H16" s="188"/>
      <c r="I16" s="189"/>
      <c r="J16" s="70"/>
      <c r="K16" s="18"/>
    </row>
    <row r="17" spans="1:13" ht="14.25" customHeight="1">
      <c r="A17" s="20"/>
      <c r="B17" s="8"/>
      <c r="C17" s="120" t="s">
        <v>540</v>
      </c>
      <c r="D17" s="187" t="s">
        <v>620</v>
      </c>
      <c r="E17" s="188"/>
      <c r="F17" s="188"/>
      <c r="G17" s="188"/>
      <c r="H17" s="188"/>
      <c r="I17" s="189"/>
      <c r="J17" s="70"/>
      <c r="K17" s="18"/>
      <c r="L17" s="70" t="str">
        <f>VLOOKUP(D17,Ranges!Q38:'Ranges'!R40,2)</f>
        <v>Pr.Axis1</v>
      </c>
    </row>
    <row r="18" spans="1:13" ht="66" customHeight="1">
      <c r="A18" s="71"/>
      <c r="B18" s="121"/>
      <c r="C18" s="122" t="s">
        <v>651</v>
      </c>
      <c r="D18" s="79" t="s">
        <v>625</v>
      </c>
      <c r="E18" s="192" t="e">
        <f>VLOOKUP(D18,Ranges!D47:I57,2,FALSE)</f>
        <v>#N/A</v>
      </c>
      <c r="F18" s="193"/>
      <c r="G18" s="193"/>
      <c r="H18" s="193"/>
      <c r="I18" s="194"/>
      <c r="J18" s="8"/>
      <c r="K18" s="18"/>
      <c r="M18"/>
    </row>
    <row r="19" spans="1:13" ht="12.75" customHeight="1">
      <c r="A19" s="7"/>
      <c r="B19" s="8"/>
      <c r="C19" s="8"/>
      <c r="D19" s="118"/>
      <c r="E19" s="8"/>
      <c r="F19" s="8"/>
      <c r="G19" s="8"/>
      <c r="H19" s="8"/>
      <c r="I19" s="8"/>
      <c r="J19" s="8"/>
      <c r="K19" s="18"/>
    </row>
    <row r="20" spans="1:13" ht="8.25" customHeight="1">
      <c r="A20" s="7"/>
      <c r="B20" s="8"/>
      <c r="C20" s="8"/>
      <c r="D20" s="118"/>
      <c r="E20" s="8"/>
      <c r="F20" s="8"/>
      <c r="G20" s="8"/>
      <c r="H20" s="8"/>
      <c r="I20" s="8"/>
      <c r="J20" s="8"/>
      <c r="K20" s="18"/>
    </row>
    <row r="21" spans="1:13" ht="38.25">
      <c r="A21" s="7"/>
      <c r="B21" s="9" t="s">
        <v>574</v>
      </c>
      <c r="C21" s="170" t="s">
        <v>575</v>
      </c>
      <c r="D21" s="171"/>
      <c r="E21" s="171"/>
      <c r="F21" s="172"/>
      <c r="G21" s="10" t="s">
        <v>16</v>
      </c>
      <c r="H21" s="84" t="s">
        <v>608</v>
      </c>
      <c r="I21" s="10" t="s">
        <v>17</v>
      </c>
      <c r="J21" s="8"/>
      <c r="K21" s="18"/>
    </row>
    <row r="22" spans="1:13" ht="24" customHeight="1">
      <c r="A22" s="7"/>
      <c r="B22" s="10" t="s">
        <v>505</v>
      </c>
      <c r="C22" s="158"/>
      <c r="D22" s="159"/>
      <c r="E22" s="159"/>
      <c r="F22" s="160"/>
      <c r="G22" s="50"/>
      <c r="H22" s="114"/>
      <c r="I22" s="81">
        <f>'LB (PB1)'!I1</f>
        <v>0</v>
      </c>
      <c r="J22" s="8"/>
      <c r="K22" s="18"/>
    </row>
    <row r="23" spans="1:13" ht="24" customHeight="1">
      <c r="A23" s="7"/>
      <c r="B23" s="10" t="s">
        <v>496</v>
      </c>
      <c r="C23" s="158"/>
      <c r="D23" s="159"/>
      <c r="E23" s="159"/>
      <c r="F23" s="160"/>
      <c r="G23" s="50"/>
      <c r="H23" s="114"/>
      <c r="I23" s="81">
        <f>'PB2'!I1</f>
        <v>0</v>
      </c>
      <c r="J23" s="8"/>
      <c r="K23" s="18"/>
    </row>
    <row r="24" spans="1:13" ht="24" customHeight="1">
      <c r="A24" s="7"/>
      <c r="B24" s="10" t="s">
        <v>497</v>
      </c>
      <c r="C24" s="158"/>
      <c r="D24" s="159"/>
      <c r="E24" s="159"/>
      <c r="F24" s="160"/>
      <c r="G24" s="50"/>
      <c r="H24" s="114"/>
      <c r="I24" s="81">
        <f>'PB3'!I1</f>
        <v>0</v>
      </c>
      <c r="J24" s="8"/>
      <c r="K24" s="18"/>
    </row>
    <row r="25" spans="1:13" ht="24" customHeight="1">
      <c r="A25" s="7"/>
      <c r="B25" s="10" t="s">
        <v>498</v>
      </c>
      <c r="C25" s="158"/>
      <c r="D25" s="159"/>
      <c r="E25" s="159"/>
      <c r="F25" s="160"/>
      <c r="G25" s="50"/>
      <c r="H25" s="114"/>
      <c r="I25" s="81">
        <f>'PB4'!I1</f>
        <v>0</v>
      </c>
      <c r="J25" s="8"/>
      <c r="K25" s="18"/>
    </row>
    <row r="26" spans="1:13" ht="24" customHeight="1">
      <c r="A26" s="7"/>
      <c r="B26" s="10" t="s">
        <v>499</v>
      </c>
      <c r="C26" s="158"/>
      <c r="D26" s="159"/>
      <c r="E26" s="159"/>
      <c r="F26" s="160"/>
      <c r="G26" s="50"/>
      <c r="H26" s="114"/>
      <c r="I26" s="81">
        <f>'PB5'!I1</f>
        <v>0</v>
      </c>
      <c r="J26" s="8"/>
      <c r="K26" s="18"/>
    </row>
    <row r="27" spans="1:13" ht="24" customHeight="1">
      <c r="A27" s="7"/>
      <c r="B27" s="10" t="s">
        <v>500</v>
      </c>
      <c r="C27" s="158"/>
      <c r="D27" s="159"/>
      <c r="E27" s="159"/>
      <c r="F27" s="160"/>
      <c r="G27" s="50"/>
      <c r="H27" s="114"/>
      <c r="I27" s="81">
        <f>'PB6'!I1</f>
        <v>0</v>
      </c>
      <c r="J27" s="8"/>
      <c r="K27" s="18"/>
    </row>
    <row r="28" spans="1:13" ht="24" customHeight="1">
      <c r="A28" s="7"/>
      <c r="B28" s="10" t="s">
        <v>501</v>
      </c>
      <c r="C28" s="158"/>
      <c r="D28" s="159"/>
      <c r="E28" s="159"/>
      <c r="F28" s="160"/>
      <c r="G28" s="50"/>
      <c r="H28" s="114"/>
      <c r="I28" s="81">
        <f>'PB7'!I1</f>
        <v>0</v>
      </c>
      <c r="J28" s="8"/>
      <c r="K28" s="18"/>
    </row>
    <row r="29" spans="1:13" ht="24" customHeight="1">
      <c r="A29" s="7"/>
      <c r="B29" s="10" t="s">
        <v>502</v>
      </c>
      <c r="C29" s="158"/>
      <c r="D29" s="159"/>
      <c r="E29" s="159"/>
      <c r="F29" s="160"/>
      <c r="G29" s="50"/>
      <c r="H29" s="114"/>
      <c r="I29" s="81">
        <f>'PB8'!I1</f>
        <v>0</v>
      </c>
      <c r="J29" s="8"/>
      <c r="K29" s="18"/>
    </row>
    <row r="30" spans="1:13" ht="24" customHeight="1">
      <c r="A30" s="7"/>
      <c r="B30" s="10" t="s">
        <v>503</v>
      </c>
      <c r="C30" s="158"/>
      <c r="D30" s="159"/>
      <c r="E30" s="159"/>
      <c r="F30" s="160"/>
      <c r="G30" s="50"/>
      <c r="H30" s="114"/>
      <c r="I30" s="81">
        <f>'PB9'!I1</f>
        <v>0</v>
      </c>
      <c r="J30" s="8"/>
      <c r="K30" s="18"/>
    </row>
    <row r="31" spans="1:13" ht="24" customHeight="1">
      <c r="A31" s="7"/>
      <c r="B31" s="10" t="s">
        <v>504</v>
      </c>
      <c r="C31" s="158"/>
      <c r="D31" s="159"/>
      <c r="E31" s="159"/>
      <c r="F31" s="160"/>
      <c r="G31" s="50"/>
      <c r="H31" s="114"/>
      <c r="I31" s="81">
        <f>'PB10'!I1</f>
        <v>0</v>
      </c>
      <c r="J31" s="8"/>
      <c r="K31" s="18"/>
    </row>
    <row r="32" spans="1:13" ht="44.25" customHeight="1">
      <c r="A32" s="7"/>
      <c r="B32" s="8"/>
      <c r="C32" s="8"/>
      <c r="D32" s="118"/>
      <c r="E32" s="8"/>
      <c r="F32" s="8"/>
      <c r="G32" s="8"/>
      <c r="H32" s="83" t="s">
        <v>19</v>
      </c>
      <c r="I32" s="82">
        <f>SUM(I22:I31)</f>
        <v>0</v>
      </c>
      <c r="J32" s="8"/>
      <c r="K32" s="18"/>
    </row>
    <row r="33" spans="1:11" ht="26.25" customHeight="1">
      <c r="A33" s="99"/>
      <c r="B33" s="8"/>
      <c r="C33" s="174" t="s">
        <v>577</v>
      </c>
      <c r="D33" s="174"/>
      <c r="E33" s="174"/>
      <c r="F33" s="175"/>
      <c r="G33" s="102"/>
      <c r="H33" s="8"/>
      <c r="I33" s="8"/>
      <c r="J33" s="8"/>
      <c r="K33" s="18"/>
    </row>
    <row r="34" spans="1:11">
      <c r="A34" s="176" t="s">
        <v>559</v>
      </c>
      <c r="B34" s="174"/>
      <c r="C34" s="174"/>
      <c r="D34" s="174"/>
      <c r="E34" s="174"/>
      <c r="F34" s="175"/>
      <c r="G34" s="72"/>
      <c r="H34" s="8"/>
      <c r="I34" s="8"/>
      <c r="J34" s="8"/>
      <c r="K34" s="18"/>
    </row>
    <row r="35" spans="1:11" ht="15" customHeight="1">
      <c r="A35" s="7"/>
      <c r="B35" s="8"/>
      <c r="C35" s="8"/>
      <c r="D35" s="118"/>
      <c r="E35" s="8"/>
      <c r="F35" s="8"/>
      <c r="G35" s="8"/>
      <c r="H35" s="177" t="s">
        <v>475</v>
      </c>
      <c r="I35" s="177"/>
      <c r="J35" s="177"/>
      <c r="K35" s="18"/>
    </row>
    <row r="36" spans="1:11">
      <c r="A36" s="7"/>
      <c r="B36" s="8"/>
      <c r="C36" s="8"/>
      <c r="D36" s="118"/>
      <c r="E36" s="8"/>
      <c r="F36" s="8"/>
      <c r="G36" s="8"/>
      <c r="H36" s="178"/>
      <c r="I36" s="178"/>
      <c r="J36" s="178"/>
      <c r="K36" s="18"/>
    </row>
    <row r="37" spans="1:11">
      <c r="A37" s="7"/>
      <c r="B37" s="8"/>
      <c r="C37" s="8"/>
      <c r="D37" s="118"/>
      <c r="E37" s="8"/>
      <c r="F37" s="8"/>
      <c r="G37" s="8"/>
      <c r="H37" s="161"/>
      <c r="I37" s="162"/>
      <c r="J37" s="163"/>
      <c r="K37" s="18"/>
    </row>
    <row r="38" spans="1:11">
      <c r="A38" s="7"/>
      <c r="B38" s="173" t="s">
        <v>573</v>
      </c>
      <c r="C38" s="173"/>
      <c r="D38" s="173"/>
      <c r="E38" s="173"/>
      <c r="F38" s="173"/>
      <c r="G38" s="8"/>
      <c r="H38" s="164"/>
      <c r="I38" s="165"/>
      <c r="J38" s="166"/>
      <c r="K38" s="18"/>
    </row>
    <row r="39" spans="1:11" ht="15" customHeight="1">
      <c r="A39" s="7"/>
      <c r="B39" s="173"/>
      <c r="C39" s="173"/>
      <c r="D39" s="173"/>
      <c r="E39" s="173"/>
      <c r="F39" s="173"/>
      <c r="G39" s="8"/>
      <c r="H39" s="164"/>
      <c r="I39" s="165"/>
      <c r="J39" s="166"/>
      <c r="K39" s="18"/>
    </row>
    <row r="40" spans="1:11" ht="15" customHeight="1">
      <c r="A40" s="7"/>
      <c r="B40" s="173"/>
      <c r="C40" s="173"/>
      <c r="D40" s="173"/>
      <c r="E40" s="173"/>
      <c r="F40" s="173"/>
      <c r="G40" s="38"/>
      <c r="H40" s="164"/>
      <c r="I40" s="165"/>
      <c r="J40" s="166"/>
      <c r="K40" s="18"/>
    </row>
    <row r="41" spans="1:11" ht="23.25" customHeight="1">
      <c r="A41" s="7"/>
      <c r="B41" s="8"/>
      <c r="C41" s="8"/>
      <c r="D41" s="8"/>
      <c r="E41" s="8"/>
      <c r="F41" s="8"/>
      <c r="G41" s="38"/>
      <c r="H41" s="167"/>
      <c r="I41" s="168"/>
      <c r="J41" s="169"/>
      <c r="K41" s="18"/>
    </row>
    <row r="42" spans="1:11" ht="15.75" customHeight="1" thickBot="1">
      <c r="A42" s="21"/>
      <c r="B42" s="123" t="s">
        <v>609</v>
      </c>
      <c r="C42" s="22"/>
      <c r="D42" s="23"/>
      <c r="E42" s="22"/>
      <c r="F42" s="22"/>
      <c r="G42" s="22"/>
      <c r="H42" s="22"/>
      <c r="I42" s="22"/>
      <c r="J42" s="22"/>
      <c r="K42" s="24"/>
    </row>
    <row r="48" spans="1:11">
      <c r="B48" s="115"/>
    </row>
  </sheetData>
  <sheetProtection autoFilter="0"/>
  <mergeCells count="29">
    <mergeCell ref="C13:J13"/>
    <mergeCell ref="D17:I17"/>
    <mergeCell ref="C25:F25"/>
    <mergeCell ref="C26:F26"/>
    <mergeCell ref="D16:I16"/>
    <mergeCell ref="D15:I15"/>
    <mergeCell ref="E18:I18"/>
    <mergeCell ref="G2:H2"/>
    <mergeCell ref="A11:I11"/>
    <mergeCell ref="A12:I12"/>
    <mergeCell ref="I2:J2"/>
    <mergeCell ref="I3:J3"/>
    <mergeCell ref="I4:J4"/>
    <mergeCell ref="G4:H4"/>
    <mergeCell ref="G3:H3"/>
    <mergeCell ref="C31:F31"/>
    <mergeCell ref="H37:J41"/>
    <mergeCell ref="C21:F21"/>
    <mergeCell ref="B38:F40"/>
    <mergeCell ref="C33:F33"/>
    <mergeCell ref="C22:F22"/>
    <mergeCell ref="A34:F34"/>
    <mergeCell ref="H35:J36"/>
    <mergeCell ref="C27:F27"/>
    <mergeCell ref="C28:F28"/>
    <mergeCell ref="C29:F29"/>
    <mergeCell ref="C30:F30"/>
    <mergeCell ref="C23:F23"/>
    <mergeCell ref="C24:F24"/>
  </mergeCells>
  <dataValidations count="6">
    <dataValidation type="list" allowBlank="1" showInputMessage="1" showErrorMessage="1" sqref="G34">
      <formula1>"Not Applicable, WP3, WP4,WP5,WP6"</formula1>
    </dataValidation>
    <dataValidation type="list" allowBlank="1" showInputMessage="1" showErrorMessage="1" sqref="G22:G31">
      <formula1>Country</formula1>
    </dataValidation>
    <dataValidation type="list" allowBlank="1" showInputMessage="1" showErrorMessage="1" sqref="D17:I17">
      <formula1>CallB1</formula1>
    </dataValidation>
    <dataValidation type="list" allowBlank="1" showInputMessage="1" showErrorMessage="1" sqref="D18">
      <formula1>INDIRECT($L$17)</formula1>
    </dataValidation>
    <dataValidation type="list" allowBlank="1" showInputMessage="1" showErrorMessage="1" sqref="H22:H31">
      <formula1>"YES,NO"</formula1>
    </dataValidation>
    <dataValidation type="list" allowBlank="1" showInputMessage="1" showErrorMessage="1" sqref="G33">
      <formula1>"Real Costs, Flat Rate"</formula1>
    </dataValidation>
  </dataValidations>
  <pageMargins left="0.7" right="0.7" top="0.75" bottom="0.75" header="0.3" footer="0.3"/>
  <pageSetup paperSize="9" scale="9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P209"/>
  <sheetViews>
    <sheetView topLeftCell="A17" zoomScale="55" zoomScaleNormal="55" zoomScaleSheetLayoutView="70" workbookViewId="0">
      <selection activeCell="G62" sqref="G62"/>
    </sheetView>
  </sheetViews>
  <sheetFormatPr defaultRowHeight="1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0" width="13.7109375" hidden="1" customWidth="1"/>
    <col min="11" max="12" width="0" hidden="1" customWidth="1"/>
    <col min="13" max="13" width="15.140625" hidden="1" customWidth="1"/>
    <col min="14" max="16" width="0" hidden="1" customWidth="1"/>
  </cols>
  <sheetData>
    <row r="1" spans="1:14" ht="15.75">
      <c r="A1" s="36"/>
      <c r="B1" s="36"/>
      <c r="C1" s="36"/>
      <c r="D1" s="55" t="s">
        <v>15</v>
      </c>
      <c r="E1" s="56">
        <f>'Cover page'!C30</f>
        <v>0</v>
      </c>
      <c r="F1" s="56">
        <f>'Cover page'!G30</f>
        <v>0</v>
      </c>
      <c r="G1" s="195" t="s">
        <v>412</v>
      </c>
      <c r="H1" s="196"/>
      <c r="I1" s="52">
        <f>SUMIF(B3:B201,"D*",I3:I201)</f>
        <v>0</v>
      </c>
      <c r="M1">
        <f>'Cover page'!G33</f>
        <v>0</v>
      </c>
    </row>
    <row r="2" spans="1:14" ht="32.25" customHeight="1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L2" s="65" t="s">
        <v>516</v>
      </c>
      <c r="M2" s="65" t="s">
        <v>578</v>
      </c>
      <c r="N2" s="65" t="s">
        <v>580</v>
      </c>
    </row>
    <row r="3" spans="1:14" ht="45" customHeight="1">
      <c r="A3" s="129"/>
      <c r="B3" s="129"/>
      <c r="C3" s="130"/>
      <c r="D3" s="131"/>
      <c r="E3" s="124"/>
      <c r="F3" s="132"/>
      <c r="G3" s="133"/>
      <c r="H3" s="134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e">
        <f>AND($M$1="Flat Rate",M3="Staff_Costs")</f>
        <v>#N/A</v>
      </c>
    </row>
    <row r="4" spans="1:14" ht="45" customHeight="1">
      <c r="A4" s="135"/>
      <c r="B4" s="129"/>
      <c r="C4" s="136"/>
      <c r="D4" s="131"/>
      <c r="E4" s="124"/>
      <c r="F4" s="132"/>
      <c r="G4" s="133"/>
      <c r="H4" s="137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e">
        <f t="shared" ref="N4:N67" si="3">AND($M$1="Flat Rate",M4="Staff_Costs")</f>
        <v>#N/A</v>
      </c>
    </row>
    <row r="5" spans="1:14" ht="45" customHeight="1">
      <c r="A5" s="135"/>
      <c r="B5" s="129"/>
      <c r="C5" s="136"/>
      <c r="D5" s="131"/>
      <c r="E5" s="124"/>
      <c r="F5" s="132"/>
      <c r="G5" s="133"/>
      <c r="H5" s="137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e">
        <f t="shared" si="3"/>
        <v>#N/A</v>
      </c>
    </row>
    <row r="6" spans="1:14" ht="45" customHeight="1">
      <c r="A6" s="135"/>
      <c r="B6" s="129"/>
      <c r="C6" s="136"/>
      <c r="D6" s="131"/>
      <c r="E6" s="124"/>
      <c r="F6" s="132"/>
      <c r="G6" s="133"/>
      <c r="H6" s="137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e">
        <f t="shared" si="3"/>
        <v>#N/A</v>
      </c>
    </row>
    <row r="7" spans="1:14" ht="45" customHeight="1">
      <c r="A7" s="135"/>
      <c r="B7" s="129"/>
      <c r="C7" s="136"/>
      <c r="D7" s="131"/>
      <c r="E7" s="124"/>
      <c r="F7" s="132"/>
      <c r="G7" s="133"/>
      <c r="H7" s="137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e">
        <f t="shared" si="3"/>
        <v>#N/A</v>
      </c>
    </row>
    <row r="8" spans="1:14" ht="45" customHeight="1">
      <c r="A8" s="135"/>
      <c r="B8" s="129"/>
      <c r="C8" s="136"/>
      <c r="D8" s="131"/>
      <c r="E8" s="124"/>
      <c r="F8" s="132"/>
      <c r="G8" s="133"/>
      <c r="H8" s="137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e">
        <f t="shared" si="3"/>
        <v>#N/A</v>
      </c>
    </row>
    <row r="9" spans="1:14" ht="45" customHeight="1">
      <c r="A9" s="135"/>
      <c r="B9" s="129"/>
      <c r="C9" s="136"/>
      <c r="D9" s="131"/>
      <c r="E9" s="124"/>
      <c r="F9" s="132"/>
      <c r="G9" s="133"/>
      <c r="H9" s="137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e">
        <f t="shared" si="3"/>
        <v>#N/A</v>
      </c>
    </row>
    <row r="10" spans="1:14" ht="45" customHeight="1">
      <c r="A10" s="135"/>
      <c r="B10" s="129"/>
      <c r="C10" s="136"/>
      <c r="D10" s="131"/>
      <c r="E10" s="124"/>
      <c r="F10" s="132"/>
      <c r="G10" s="133"/>
      <c r="H10" s="137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e">
        <f t="shared" si="3"/>
        <v>#N/A</v>
      </c>
    </row>
    <row r="11" spans="1:14" ht="45" customHeight="1">
      <c r="A11" s="135"/>
      <c r="B11" s="129"/>
      <c r="C11" s="136"/>
      <c r="D11" s="131"/>
      <c r="E11" s="124"/>
      <c r="F11" s="132"/>
      <c r="G11" s="133"/>
      <c r="H11" s="137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e">
        <f t="shared" si="3"/>
        <v>#N/A</v>
      </c>
    </row>
    <row r="12" spans="1:14" ht="45" customHeight="1">
      <c r="A12" s="135"/>
      <c r="B12" s="129"/>
      <c r="C12" s="136"/>
      <c r="D12" s="131"/>
      <c r="E12" s="124"/>
      <c r="F12" s="132"/>
      <c r="G12" s="133"/>
      <c r="H12" s="137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e">
        <f t="shared" si="3"/>
        <v>#N/A</v>
      </c>
    </row>
    <row r="13" spans="1:14" ht="45" customHeight="1">
      <c r="A13" s="135"/>
      <c r="B13" s="129"/>
      <c r="C13" s="136"/>
      <c r="D13" s="131"/>
      <c r="E13" s="124"/>
      <c r="F13" s="132"/>
      <c r="G13" s="133"/>
      <c r="H13" s="137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e">
        <f t="shared" si="3"/>
        <v>#N/A</v>
      </c>
    </row>
    <row r="14" spans="1:14" ht="45" customHeight="1">
      <c r="A14" s="135"/>
      <c r="B14" s="129"/>
      <c r="C14" s="136"/>
      <c r="D14" s="131"/>
      <c r="E14" s="124"/>
      <c r="F14" s="132"/>
      <c r="G14" s="133"/>
      <c r="H14" s="137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e">
        <f t="shared" si="3"/>
        <v>#N/A</v>
      </c>
    </row>
    <row r="15" spans="1:14" ht="45" customHeight="1">
      <c r="A15" s="135"/>
      <c r="B15" s="129"/>
      <c r="C15" s="136"/>
      <c r="D15" s="131"/>
      <c r="E15" s="124"/>
      <c r="F15" s="132"/>
      <c r="G15" s="133"/>
      <c r="H15" s="137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e">
        <f t="shared" si="3"/>
        <v>#N/A</v>
      </c>
    </row>
    <row r="16" spans="1:14" ht="45" customHeight="1">
      <c r="A16" s="135"/>
      <c r="B16" s="129"/>
      <c r="C16" s="136"/>
      <c r="D16" s="131"/>
      <c r="E16" s="124"/>
      <c r="F16" s="132"/>
      <c r="G16" s="133"/>
      <c r="H16" s="137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e">
        <f t="shared" si="3"/>
        <v>#N/A</v>
      </c>
    </row>
    <row r="17" spans="1:14" ht="45" customHeight="1">
      <c r="A17" s="135"/>
      <c r="B17" s="129"/>
      <c r="C17" s="136"/>
      <c r="D17" s="131"/>
      <c r="E17" s="124"/>
      <c r="F17" s="132"/>
      <c r="G17" s="133"/>
      <c r="H17" s="137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e">
        <f t="shared" si="3"/>
        <v>#N/A</v>
      </c>
    </row>
    <row r="18" spans="1:14" ht="45" customHeight="1">
      <c r="A18" s="138"/>
      <c r="B18" s="129"/>
      <c r="C18" s="139"/>
      <c r="D18" s="131"/>
      <c r="E18" s="124"/>
      <c r="F18" s="132"/>
      <c r="G18" s="133"/>
      <c r="H18" s="140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e">
        <f t="shared" si="3"/>
        <v>#N/A</v>
      </c>
    </row>
    <row r="19" spans="1:14" ht="45" customHeight="1">
      <c r="A19" s="135"/>
      <c r="B19" s="129"/>
      <c r="C19" s="136"/>
      <c r="D19" s="131"/>
      <c r="E19" s="124"/>
      <c r="F19" s="132"/>
      <c r="G19" s="133"/>
      <c r="H19" s="137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e">
        <f t="shared" si="3"/>
        <v>#N/A</v>
      </c>
    </row>
    <row r="20" spans="1:14" ht="45" customHeight="1">
      <c r="A20" s="135"/>
      <c r="B20" s="129"/>
      <c r="C20" s="136"/>
      <c r="D20" s="131"/>
      <c r="E20" s="124"/>
      <c r="F20" s="132"/>
      <c r="G20" s="133"/>
      <c r="H20" s="137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e">
        <f t="shared" si="3"/>
        <v>#N/A</v>
      </c>
    </row>
    <row r="21" spans="1:14" ht="45" customHeight="1">
      <c r="A21" s="135"/>
      <c r="B21" s="129"/>
      <c r="C21" s="136"/>
      <c r="D21" s="131"/>
      <c r="E21" s="124"/>
      <c r="F21" s="132"/>
      <c r="G21" s="133"/>
      <c r="H21" s="137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e">
        <f t="shared" si="3"/>
        <v>#N/A</v>
      </c>
    </row>
    <row r="22" spans="1:14" ht="45" customHeight="1">
      <c r="A22" s="135"/>
      <c r="B22" s="129"/>
      <c r="C22" s="136"/>
      <c r="D22" s="131"/>
      <c r="E22" s="124"/>
      <c r="F22" s="132"/>
      <c r="G22" s="133"/>
      <c r="H22" s="137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e">
        <f t="shared" si="3"/>
        <v>#N/A</v>
      </c>
    </row>
    <row r="23" spans="1:14" ht="45" customHeight="1">
      <c r="A23" s="135"/>
      <c r="B23" s="129"/>
      <c r="C23" s="136"/>
      <c r="D23" s="131"/>
      <c r="E23" s="124"/>
      <c r="F23" s="132"/>
      <c r="G23" s="133"/>
      <c r="H23" s="137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e">
        <f t="shared" si="3"/>
        <v>#N/A</v>
      </c>
    </row>
    <row r="24" spans="1:14" ht="45" customHeight="1">
      <c r="A24" s="135"/>
      <c r="B24" s="129"/>
      <c r="C24" s="136"/>
      <c r="D24" s="131"/>
      <c r="E24" s="124"/>
      <c r="F24" s="132"/>
      <c r="G24" s="133"/>
      <c r="H24" s="137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e">
        <f t="shared" si="3"/>
        <v>#N/A</v>
      </c>
    </row>
    <row r="25" spans="1:14" ht="45" customHeight="1">
      <c r="A25" s="135"/>
      <c r="B25" s="129"/>
      <c r="C25" s="136"/>
      <c r="D25" s="131"/>
      <c r="E25" s="124"/>
      <c r="F25" s="132"/>
      <c r="G25" s="133"/>
      <c r="H25" s="137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e">
        <f t="shared" si="3"/>
        <v>#N/A</v>
      </c>
    </row>
    <row r="26" spans="1:14" ht="45" customHeight="1">
      <c r="A26" s="135"/>
      <c r="B26" s="129"/>
      <c r="C26" s="136"/>
      <c r="D26" s="131"/>
      <c r="E26" s="124"/>
      <c r="F26" s="132"/>
      <c r="G26" s="133"/>
      <c r="H26" s="137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e">
        <f t="shared" si="3"/>
        <v>#N/A</v>
      </c>
    </row>
    <row r="27" spans="1:14" ht="45" customHeight="1">
      <c r="A27" s="135"/>
      <c r="B27" s="129"/>
      <c r="C27" s="136"/>
      <c r="D27" s="131"/>
      <c r="E27" s="124"/>
      <c r="F27" s="132"/>
      <c r="G27" s="133"/>
      <c r="H27" s="137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e">
        <f t="shared" si="3"/>
        <v>#N/A</v>
      </c>
    </row>
    <row r="28" spans="1:14" ht="45" customHeight="1">
      <c r="A28" s="135"/>
      <c r="B28" s="129"/>
      <c r="C28" s="136"/>
      <c r="D28" s="131"/>
      <c r="E28" s="124"/>
      <c r="F28" s="132"/>
      <c r="G28" s="133"/>
      <c r="H28" s="137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e">
        <f t="shared" si="3"/>
        <v>#N/A</v>
      </c>
    </row>
    <row r="29" spans="1:14" ht="45" customHeight="1">
      <c r="A29" s="135"/>
      <c r="B29" s="129"/>
      <c r="C29" s="136"/>
      <c r="D29" s="131"/>
      <c r="E29" s="124"/>
      <c r="F29" s="132"/>
      <c r="G29" s="133"/>
      <c r="H29" s="137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e">
        <f t="shared" si="3"/>
        <v>#N/A</v>
      </c>
    </row>
    <row r="30" spans="1:14" ht="45" customHeight="1">
      <c r="A30" s="135"/>
      <c r="B30" s="129"/>
      <c r="C30" s="136"/>
      <c r="D30" s="131"/>
      <c r="E30" s="124"/>
      <c r="F30" s="132"/>
      <c r="G30" s="133"/>
      <c r="H30" s="137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e">
        <f t="shared" si="3"/>
        <v>#N/A</v>
      </c>
    </row>
    <row r="31" spans="1:14" ht="45" customHeight="1">
      <c r="A31" s="135"/>
      <c r="B31" s="129"/>
      <c r="C31" s="136"/>
      <c r="D31" s="131"/>
      <c r="E31" s="124"/>
      <c r="F31" s="132"/>
      <c r="G31" s="133"/>
      <c r="H31" s="137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e">
        <f t="shared" si="3"/>
        <v>#N/A</v>
      </c>
    </row>
    <row r="32" spans="1:14" ht="45" customHeight="1">
      <c r="A32" s="135"/>
      <c r="B32" s="129"/>
      <c r="C32" s="136"/>
      <c r="D32" s="131"/>
      <c r="E32" s="124"/>
      <c r="F32" s="132"/>
      <c r="G32" s="133"/>
      <c r="H32" s="137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e">
        <f t="shared" si="3"/>
        <v>#N/A</v>
      </c>
    </row>
    <row r="33" spans="1:14" ht="45" customHeight="1">
      <c r="A33" s="135"/>
      <c r="B33" s="129"/>
      <c r="C33" s="136"/>
      <c r="D33" s="131"/>
      <c r="E33" s="124"/>
      <c r="F33" s="132"/>
      <c r="G33" s="133"/>
      <c r="H33" s="137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e">
        <f t="shared" si="3"/>
        <v>#N/A</v>
      </c>
    </row>
    <row r="34" spans="1:14" ht="45" customHeight="1">
      <c r="A34" s="135"/>
      <c r="B34" s="129"/>
      <c r="C34" s="136"/>
      <c r="D34" s="131"/>
      <c r="E34" s="126"/>
      <c r="F34" s="132"/>
      <c r="G34" s="133"/>
      <c r="H34" s="137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e">
        <f t="shared" si="3"/>
        <v>#N/A</v>
      </c>
    </row>
    <row r="35" spans="1:14" ht="45" customHeight="1">
      <c r="A35" s="135"/>
      <c r="B35" s="129"/>
      <c r="C35" s="136"/>
      <c r="D35" s="131"/>
      <c r="E35" s="126"/>
      <c r="F35" s="132"/>
      <c r="G35" s="133"/>
      <c r="H35" s="137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e">
        <f t="shared" si="3"/>
        <v>#N/A</v>
      </c>
    </row>
    <row r="36" spans="1:14" ht="45" customHeight="1">
      <c r="A36" s="135"/>
      <c r="B36" s="129"/>
      <c r="C36" s="136"/>
      <c r="D36" s="131"/>
      <c r="E36" s="126"/>
      <c r="F36" s="132"/>
      <c r="G36" s="133"/>
      <c r="H36" s="137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e">
        <f t="shared" si="3"/>
        <v>#N/A</v>
      </c>
    </row>
    <row r="37" spans="1:14" ht="45" customHeight="1">
      <c r="A37" s="135"/>
      <c r="B37" s="129"/>
      <c r="C37" s="136"/>
      <c r="D37" s="131"/>
      <c r="E37" s="126"/>
      <c r="F37" s="132"/>
      <c r="G37" s="133"/>
      <c r="H37" s="137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e">
        <f t="shared" si="3"/>
        <v>#N/A</v>
      </c>
    </row>
    <row r="38" spans="1:14" ht="45" customHeight="1">
      <c r="A38" s="135"/>
      <c r="B38" s="129"/>
      <c r="C38" s="136"/>
      <c r="D38" s="131"/>
      <c r="E38" s="126"/>
      <c r="F38" s="132"/>
      <c r="G38" s="133"/>
      <c r="H38" s="137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e">
        <f t="shared" si="3"/>
        <v>#N/A</v>
      </c>
    </row>
    <row r="39" spans="1:14" ht="45" customHeight="1">
      <c r="A39" s="135"/>
      <c r="B39" s="129"/>
      <c r="C39" s="136"/>
      <c r="D39" s="131"/>
      <c r="E39" s="126"/>
      <c r="F39" s="132"/>
      <c r="G39" s="133"/>
      <c r="H39" s="137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e">
        <f t="shared" si="3"/>
        <v>#N/A</v>
      </c>
    </row>
    <row r="40" spans="1:14" ht="45" customHeight="1">
      <c r="A40" s="135"/>
      <c r="B40" s="129"/>
      <c r="C40" s="136"/>
      <c r="D40" s="131"/>
      <c r="E40" s="126"/>
      <c r="F40" s="132"/>
      <c r="G40" s="133"/>
      <c r="H40" s="137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e">
        <f t="shared" si="3"/>
        <v>#N/A</v>
      </c>
    </row>
    <row r="41" spans="1:14" ht="45" customHeight="1">
      <c r="A41" s="135"/>
      <c r="B41" s="129"/>
      <c r="C41" s="136"/>
      <c r="D41" s="131"/>
      <c r="E41" s="126"/>
      <c r="F41" s="132"/>
      <c r="G41" s="133"/>
      <c r="H41" s="137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e">
        <f t="shared" si="3"/>
        <v>#N/A</v>
      </c>
    </row>
    <row r="42" spans="1:14" ht="45" customHeight="1">
      <c r="A42" s="135"/>
      <c r="B42" s="129"/>
      <c r="C42" s="136"/>
      <c r="D42" s="131"/>
      <c r="E42" s="126"/>
      <c r="F42" s="132"/>
      <c r="G42" s="133"/>
      <c r="H42" s="137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e">
        <f t="shared" si="3"/>
        <v>#N/A</v>
      </c>
    </row>
    <row r="43" spans="1:14" ht="45" customHeight="1">
      <c r="A43" s="135"/>
      <c r="B43" s="129"/>
      <c r="C43" s="136"/>
      <c r="D43" s="131"/>
      <c r="E43" s="126"/>
      <c r="F43" s="132"/>
      <c r="G43" s="133"/>
      <c r="H43" s="137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e">
        <f t="shared" si="3"/>
        <v>#N/A</v>
      </c>
    </row>
    <row r="44" spans="1:14" ht="45" customHeight="1">
      <c r="A44" s="135"/>
      <c r="B44" s="129"/>
      <c r="C44" s="136"/>
      <c r="D44" s="131"/>
      <c r="E44" s="126"/>
      <c r="F44" s="132"/>
      <c r="G44" s="133"/>
      <c r="H44" s="137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e">
        <f t="shared" si="3"/>
        <v>#N/A</v>
      </c>
    </row>
    <row r="45" spans="1:14" ht="45" customHeight="1">
      <c r="A45" s="135"/>
      <c r="B45" s="129"/>
      <c r="C45" s="136"/>
      <c r="D45" s="131"/>
      <c r="E45" s="126"/>
      <c r="F45" s="132"/>
      <c r="G45" s="133"/>
      <c r="H45" s="137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e">
        <f t="shared" si="3"/>
        <v>#N/A</v>
      </c>
    </row>
    <row r="46" spans="1:14" ht="45" customHeight="1">
      <c r="A46" s="135"/>
      <c r="B46" s="129"/>
      <c r="C46" s="136"/>
      <c r="D46" s="131"/>
      <c r="E46" s="126"/>
      <c r="F46" s="132"/>
      <c r="G46" s="133"/>
      <c r="H46" s="137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e">
        <f t="shared" si="3"/>
        <v>#N/A</v>
      </c>
    </row>
    <row r="47" spans="1:14" ht="45" customHeight="1">
      <c r="A47" s="135"/>
      <c r="B47" s="129"/>
      <c r="C47" s="136"/>
      <c r="D47" s="131"/>
      <c r="E47" s="126"/>
      <c r="F47" s="132"/>
      <c r="G47" s="133"/>
      <c r="H47" s="137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e">
        <f t="shared" si="3"/>
        <v>#N/A</v>
      </c>
    </row>
    <row r="48" spans="1:14" ht="45" customHeight="1">
      <c r="A48" s="135"/>
      <c r="B48" s="129"/>
      <c r="C48" s="136"/>
      <c r="D48" s="131"/>
      <c r="E48" s="126"/>
      <c r="F48" s="132"/>
      <c r="G48" s="133"/>
      <c r="H48" s="137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e">
        <f t="shared" si="3"/>
        <v>#N/A</v>
      </c>
    </row>
    <row r="49" spans="1:14" ht="45" customHeight="1">
      <c r="A49" s="135"/>
      <c r="B49" s="129"/>
      <c r="C49" s="136"/>
      <c r="D49" s="131"/>
      <c r="E49" s="126"/>
      <c r="F49" s="132"/>
      <c r="G49" s="133"/>
      <c r="H49" s="137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e">
        <f t="shared" si="3"/>
        <v>#N/A</v>
      </c>
    </row>
    <row r="50" spans="1:14" ht="45" customHeight="1">
      <c r="A50" s="135"/>
      <c r="B50" s="129"/>
      <c r="C50" s="136"/>
      <c r="D50" s="131"/>
      <c r="E50" s="126"/>
      <c r="F50" s="132"/>
      <c r="G50" s="133"/>
      <c r="H50" s="137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e">
        <f t="shared" si="3"/>
        <v>#N/A</v>
      </c>
    </row>
    <row r="51" spans="1:14" ht="45" customHeight="1">
      <c r="A51" s="135"/>
      <c r="B51" s="129"/>
      <c r="C51" s="136"/>
      <c r="D51" s="131"/>
      <c r="E51" s="126"/>
      <c r="F51" s="132"/>
      <c r="G51" s="133"/>
      <c r="H51" s="137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e">
        <f t="shared" si="3"/>
        <v>#N/A</v>
      </c>
    </row>
    <row r="52" spans="1:14" ht="45" customHeight="1">
      <c r="A52" s="135"/>
      <c r="B52" s="129"/>
      <c r="C52" s="136"/>
      <c r="D52" s="131"/>
      <c r="E52" s="126"/>
      <c r="F52" s="132"/>
      <c r="G52" s="133"/>
      <c r="H52" s="137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e">
        <f t="shared" si="3"/>
        <v>#N/A</v>
      </c>
    </row>
    <row r="53" spans="1:14" ht="45" customHeight="1">
      <c r="A53" s="135"/>
      <c r="B53" s="129"/>
      <c r="C53" s="136"/>
      <c r="D53" s="131"/>
      <c r="E53" s="126"/>
      <c r="F53" s="132"/>
      <c r="G53" s="133"/>
      <c r="H53" s="137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e">
        <f t="shared" si="3"/>
        <v>#N/A</v>
      </c>
    </row>
    <row r="54" spans="1:14" ht="45" customHeight="1">
      <c r="A54" s="135"/>
      <c r="B54" s="129"/>
      <c r="C54" s="136"/>
      <c r="D54" s="131"/>
      <c r="E54" s="126"/>
      <c r="F54" s="132"/>
      <c r="G54" s="133"/>
      <c r="H54" s="137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e">
        <f t="shared" si="3"/>
        <v>#N/A</v>
      </c>
    </row>
    <row r="55" spans="1:14" ht="45" customHeight="1">
      <c r="A55" s="135"/>
      <c r="B55" s="129"/>
      <c r="C55" s="136"/>
      <c r="D55" s="131"/>
      <c r="E55" s="126"/>
      <c r="F55" s="132"/>
      <c r="G55" s="133"/>
      <c r="H55" s="137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e">
        <f t="shared" si="3"/>
        <v>#N/A</v>
      </c>
    </row>
    <row r="56" spans="1:14" ht="45" customHeight="1">
      <c r="A56" s="135"/>
      <c r="B56" s="129"/>
      <c r="C56" s="136"/>
      <c r="D56" s="131"/>
      <c r="E56" s="126"/>
      <c r="F56" s="132"/>
      <c r="G56" s="133"/>
      <c r="H56" s="137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e">
        <f t="shared" si="3"/>
        <v>#N/A</v>
      </c>
    </row>
    <row r="57" spans="1:14" ht="45" customHeight="1">
      <c r="A57" s="135"/>
      <c r="B57" s="129"/>
      <c r="C57" s="136"/>
      <c r="D57" s="131"/>
      <c r="E57" s="126"/>
      <c r="F57" s="132"/>
      <c r="G57" s="133"/>
      <c r="H57" s="137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e">
        <f t="shared" si="3"/>
        <v>#N/A</v>
      </c>
    </row>
    <row r="58" spans="1:14" ht="45" customHeight="1">
      <c r="A58" s="135"/>
      <c r="B58" s="129"/>
      <c r="C58" s="136"/>
      <c r="D58" s="131"/>
      <c r="E58" s="126"/>
      <c r="F58" s="132"/>
      <c r="G58" s="133"/>
      <c r="H58" s="137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e">
        <f t="shared" si="3"/>
        <v>#N/A</v>
      </c>
    </row>
    <row r="59" spans="1:14" ht="45" customHeight="1">
      <c r="A59" s="135"/>
      <c r="B59" s="129"/>
      <c r="C59" s="136"/>
      <c r="D59" s="131"/>
      <c r="E59" s="126"/>
      <c r="F59" s="132"/>
      <c r="G59" s="133"/>
      <c r="H59" s="137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e">
        <f t="shared" si="3"/>
        <v>#N/A</v>
      </c>
    </row>
    <row r="60" spans="1:14" ht="45" customHeight="1">
      <c r="A60" s="135"/>
      <c r="B60" s="129"/>
      <c r="C60" s="136"/>
      <c r="D60" s="131"/>
      <c r="E60" s="126"/>
      <c r="F60" s="132"/>
      <c r="G60" s="133"/>
      <c r="H60" s="137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e">
        <f t="shared" si="3"/>
        <v>#N/A</v>
      </c>
    </row>
    <row r="61" spans="1:14" ht="45" customHeight="1">
      <c r="A61" s="135"/>
      <c r="B61" s="129"/>
      <c r="C61" s="136"/>
      <c r="D61" s="131"/>
      <c r="E61" s="126"/>
      <c r="F61" s="132"/>
      <c r="G61" s="133"/>
      <c r="H61" s="137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e">
        <f t="shared" si="3"/>
        <v>#N/A</v>
      </c>
    </row>
    <row r="62" spans="1:14" ht="45" customHeight="1">
      <c r="A62" s="135"/>
      <c r="B62" s="129"/>
      <c r="C62" s="136"/>
      <c r="D62" s="131"/>
      <c r="E62" s="126"/>
      <c r="F62" s="132"/>
      <c r="G62" s="133"/>
      <c r="H62" s="137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e">
        <f t="shared" si="3"/>
        <v>#N/A</v>
      </c>
    </row>
    <row r="63" spans="1:14" ht="45" customHeight="1">
      <c r="A63" s="135"/>
      <c r="B63" s="129"/>
      <c r="C63" s="136"/>
      <c r="D63" s="131"/>
      <c r="E63" s="126"/>
      <c r="F63" s="132"/>
      <c r="G63" s="133"/>
      <c r="H63" s="137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e">
        <f t="shared" si="3"/>
        <v>#N/A</v>
      </c>
    </row>
    <row r="64" spans="1:14" ht="45" customHeight="1">
      <c r="A64" s="135"/>
      <c r="B64" s="129"/>
      <c r="C64" s="136"/>
      <c r="D64" s="131"/>
      <c r="E64" s="126"/>
      <c r="F64" s="132"/>
      <c r="G64" s="133"/>
      <c r="H64" s="137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e">
        <f t="shared" si="3"/>
        <v>#N/A</v>
      </c>
    </row>
    <row r="65" spans="1:14" ht="45" customHeight="1">
      <c r="A65" s="135"/>
      <c r="B65" s="129"/>
      <c r="C65" s="136"/>
      <c r="D65" s="131"/>
      <c r="E65" s="126"/>
      <c r="F65" s="132"/>
      <c r="G65" s="133"/>
      <c r="H65" s="137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e">
        <f t="shared" si="3"/>
        <v>#N/A</v>
      </c>
    </row>
    <row r="66" spans="1:14" ht="45" customHeight="1">
      <c r="A66" s="135"/>
      <c r="B66" s="129"/>
      <c r="C66" s="136"/>
      <c r="D66" s="131"/>
      <c r="E66" s="126"/>
      <c r="F66" s="132"/>
      <c r="G66" s="133"/>
      <c r="H66" s="137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e">
        <f t="shared" si="3"/>
        <v>#N/A</v>
      </c>
    </row>
    <row r="67" spans="1:14" ht="45" customHeight="1">
      <c r="A67" s="135"/>
      <c r="B67" s="129"/>
      <c r="C67" s="136"/>
      <c r="D67" s="131"/>
      <c r="E67" s="126"/>
      <c r="F67" s="132"/>
      <c r="G67" s="133"/>
      <c r="H67" s="137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e">
        <f t="shared" si="3"/>
        <v>#N/A</v>
      </c>
    </row>
    <row r="68" spans="1:14" ht="45" customHeight="1">
      <c r="A68" s="135"/>
      <c r="B68" s="129"/>
      <c r="C68" s="136"/>
      <c r="D68" s="131"/>
      <c r="E68" s="126"/>
      <c r="F68" s="132"/>
      <c r="G68" s="133"/>
      <c r="H68" s="137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e">
        <f t="shared" ref="N68:N131" si="8">AND($M$1="Flat Rate",M68="Staff_Costs")</f>
        <v>#N/A</v>
      </c>
    </row>
    <row r="69" spans="1:14" ht="45" customHeight="1">
      <c r="A69" s="135"/>
      <c r="B69" s="129"/>
      <c r="C69" s="136"/>
      <c r="D69" s="131"/>
      <c r="E69" s="126"/>
      <c r="F69" s="132"/>
      <c r="G69" s="133"/>
      <c r="H69" s="137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e">
        <f t="shared" si="8"/>
        <v>#N/A</v>
      </c>
    </row>
    <row r="70" spans="1:14" ht="45" customHeight="1">
      <c r="A70" s="135"/>
      <c r="B70" s="129"/>
      <c r="C70" s="136"/>
      <c r="D70" s="131"/>
      <c r="E70" s="126"/>
      <c r="F70" s="132"/>
      <c r="G70" s="133"/>
      <c r="H70" s="137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e">
        <f t="shared" si="8"/>
        <v>#N/A</v>
      </c>
    </row>
    <row r="71" spans="1:14" ht="45" customHeight="1">
      <c r="A71" s="135"/>
      <c r="B71" s="129"/>
      <c r="C71" s="136"/>
      <c r="D71" s="131"/>
      <c r="E71" s="126"/>
      <c r="F71" s="132"/>
      <c r="G71" s="133"/>
      <c r="H71" s="137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e">
        <f t="shared" si="8"/>
        <v>#N/A</v>
      </c>
    </row>
    <row r="72" spans="1:14" ht="45" customHeight="1">
      <c r="A72" s="135"/>
      <c r="B72" s="129"/>
      <c r="C72" s="136"/>
      <c r="D72" s="131"/>
      <c r="E72" s="126"/>
      <c r="F72" s="132"/>
      <c r="G72" s="133"/>
      <c r="H72" s="137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e">
        <f t="shared" si="8"/>
        <v>#N/A</v>
      </c>
    </row>
    <row r="73" spans="1:14" ht="45" customHeight="1">
      <c r="A73" s="135"/>
      <c r="B73" s="129"/>
      <c r="C73" s="136"/>
      <c r="D73" s="131"/>
      <c r="E73" s="126"/>
      <c r="F73" s="132"/>
      <c r="G73" s="133"/>
      <c r="H73" s="137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e">
        <f t="shared" si="8"/>
        <v>#N/A</v>
      </c>
    </row>
    <row r="74" spans="1:14" ht="45" customHeight="1">
      <c r="A74" s="135"/>
      <c r="B74" s="129"/>
      <c r="C74" s="136"/>
      <c r="D74" s="131"/>
      <c r="E74" s="126"/>
      <c r="F74" s="132"/>
      <c r="G74" s="133"/>
      <c r="H74" s="137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e">
        <f t="shared" si="8"/>
        <v>#N/A</v>
      </c>
    </row>
    <row r="75" spans="1:14" ht="45" customHeight="1">
      <c r="A75" s="135"/>
      <c r="B75" s="129"/>
      <c r="C75" s="136"/>
      <c r="D75" s="131"/>
      <c r="E75" s="126"/>
      <c r="F75" s="132"/>
      <c r="G75" s="133"/>
      <c r="H75" s="137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e">
        <f t="shared" si="8"/>
        <v>#N/A</v>
      </c>
    </row>
    <row r="76" spans="1:14" ht="45" customHeight="1">
      <c r="A76" s="135"/>
      <c r="B76" s="129"/>
      <c r="C76" s="136"/>
      <c r="D76" s="131"/>
      <c r="E76" s="126"/>
      <c r="F76" s="132"/>
      <c r="G76" s="133"/>
      <c r="H76" s="137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e">
        <f t="shared" si="8"/>
        <v>#N/A</v>
      </c>
    </row>
    <row r="77" spans="1:14" ht="45" customHeight="1">
      <c r="A77" s="135"/>
      <c r="B77" s="129"/>
      <c r="C77" s="136"/>
      <c r="D77" s="131"/>
      <c r="E77" s="126"/>
      <c r="F77" s="132"/>
      <c r="G77" s="133"/>
      <c r="H77" s="137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e">
        <f t="shared" si="8"/>
        <v>#N/A</v>
      </c>
    </row>
    <row r="78" spans="1:14" ht="45" customHeight="1">
      <c r="A78" s="135"/>
      <c r="B78" s="129"/>
      <c r="C78" s="136"/>
      <c r="D78" s="131"/>
      <c r="E78" s="126"/>
      <c r="F78" s="132"/>
      <c r="G78" s="133"/>
      <c r="H78" s="137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e">
        <f t="shared" si="8"/>
        <v>#N/A</v>
      </c>
    </row>
    <row r="79" spans="1:14" ht="45" customHeight="1">
      <c r="A79" s="135"/>
      <c r="B79" s="129"/>
      <c r="C79" s="136"/>
      <c r="D79" s="131"/>
      <c r="E79" s="126"/>
      <c r="F79" s="132"/>
      <c r="G79" s="133"/>
      <c r="H79" s="137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e">
        <f t="shared" si="8"/>
        <v>#N/A</v>
      </c>
    </row>
    <row r="80" spans="1:14" ht="45" customHeight="1">
      <c r="A80" s="135"/>
      <c r="B80" s="129"/>
      <c r="C80" s="136"/>
      <c r="D80" s="131"/>
      <c r="E80" s="126"/>
      <c r="F80" s="132"/>
      <c r="G80" s="133"/>
      <c r="H80" s="137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e">
        <f t="shared" si="8"/>
        <v>#N/A</v>
      </c>
    </row>
    <row r="81" spans="1:14" ht="45" customHeight="1">
      <c r="A81" s="135"/>
      <c r="B81" s="129"/>
      <c r="C81" s="136"/>
      <c r="D81" s="131"/>
      <c r="E81" s="126"/>
      <c r="F81" s="132"/>
      <c r="G81" s="133"/>
      <c r="H81" s="137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e">
        <f t="shared" si="8"/>
        <v>#N/A</v>
      </c>
    </row>
    <row r="82" spans="1:14" ht="45" customHeight="1">
      <c r="A82" s="135"/>
      <c r="B82" s="129"/>
      <c r="C82" s="136"/>
      <c r="D82" s="131"/>
      <c r="E82" s="126"/>
      <c r="F82" s="132"/>
      <c r="G82" s="133"/>
      <c r="H82" s="137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e">
        <f t="shared" si="8"/>
        <v>#N/A</v>
      </c>
    </row>
    <row r="83" spans="1:14" ht="45" customHeight="1">
      <c r="A83" s="135"/>
      <c r="B83" s="129"/>
      <c r="C83" s="136"/>
      <c r="D83" s="131"/>
      <c r="E83" s="126"/>
      <c r="F83" s="132"/>
      <c r="G83" s="133"/>
      <c r="H83" s="137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e">
        <f t="shared" si="8"/>
        <v>#N/A</v>
      </c>
    </row>
    <row r="84" spans="1:14" ht="45" customHeight="1">
      <c r="A84" s="135"/>
      <c r="B84" s="129"/>
      <c r="C84" s="136"/>
      <c r="D84" s="131"/>
      <c r="E84" s="126"/>
      <c r="F84" s="132"/>
      <c r="G84" s="133"/>
      <c r="H84" s="137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e">
        <f t="shared" si="8"/>
        <v>#N/A</v>
      </c>
    </row>
    <row r="85" spans="1:14" ht="45" customHeight="1">
      <c r="A85" s="135"/>
      <c r="B85" s="129"/>
      <c r="C85" s="136"/>
      <c r="D85" s="131"/>
      <c r="E85" s="126"/>
      <c r="F85" s="132"/>
      <c r="G85" s="133"/>
      <c r="H85" s="137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e">
        <f t="shared" si="8"/>
        <v>#N/A</v>
      </c>
    </row>
    <row r="86" spans="1:14" ht="45" customHeight="1">
      <c r="A86" s="135"/>
      <c r="B86" s="129"/>
      <c r="C86" s="136"/>
      <c r="D86" s="131"/>
      <c r="E86" s="126"/>
      <c r="F86" s="132"/>
      <c r="G86" s="133"/>
      <c r="H86" s="137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e">
        <f t="shared" si="8"/>
        <v>#N/A</v>
      </c>
    </row>
    <row r="87" spans="1:14" ht="45" customHeight="1">
      <c r="A87" s="135"/>
      <c r="B87" s="129"/>
      <c r="C87" s="136"/>
      <c r="D87" s="131"/>
      <c r="E87" s="126"/>
      <c r="F87" s="132"/>
      <c r="G87" s="133"/>
      <c r="H87" s="137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e">
        <f t="shared" si="8"/>
        <v>#N/A</v>
      </c>
    </row>
    <row r="88" spans="1:14" ht="45" customHeight="1">
      <c r="A88" s="135"/>
      <c r="B88" s="129"/>
      <c r="C88" s="136"/>
      <c r="D88" s="131"/>
      <c r="E88" s="126"/>
      <c r="F88" s="132"/>
      <c r="G88" s="133"/>
      <c r="H88" s="137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e">
        <f t="shared" si="8"/>
        <v>#N/A</v>
      </c>
    </row>
    <row r="89" spans="1:14" ht="45" customHeight="1">
      <c r="A89" s="135"/>
      <c r="B89" s="129"/>
      <c r="C89" s="136"/>
      <c r="D89" s="131"/>
      <c r="E89" s="126"/>
      <c r="F89" s="132"/>
      <c r="G89" s="133"/>
      <c r="H89" s="137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e">
        <f t="shared" si="8"/>
        <v>#N/A</v>
      </c>
    </row>
    <row r="90" spans="1:14" ht="45" customHeight="1">
      <c r="A90" s="135"/>
      <c r="B90" s="129"/>
      <c r="C90" s="136"/>
      <c r="D90" s="131"/>
      <c r="E90" s="126"/>
      <c r="F90" s="132"/>
      <c r="G90" s="133"/>
      <c r="H90" s="137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e">
        <f t="shared" si="8"/>
        <v>#N/A</v>
      </c>
    </row>
    <row r="91" spans="1:14" ht="45" customHeight="1">
      <c r="A91" s="135"/>
      <c r="B91" s="129"/>
      <c r="C91" s="136"/>
      <c r="D91" s="131"/>
      <c r="E91" s="126"/>
      <c r="F91" s="132"/>
      <c r="G91" s="133"/>
      <c r="H91" s="137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e">
        <f t="shared" si="8"/>
        <v>#N/A</v>
      </c>
    </row>
    <row r="92" spans="1:14" ht="45" customHeight="1">
      <c r="A92" s="135"/>
      <c r="B92" s="129"/>
      <c r="C92" s="136"/>
      <c r="D92" s="131"/>
      <c r="E92" s="126"/>
      <c r="F92" s="132"/>
      <c r="G92" s="133"/>
      <c r="H92" s="137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e">
        <f t="shared" si="8"/>
        <v>#N/A</v>
      </c>
    </row>
    <row r="93" spans="1:14" ht="45" customHeight="1">
      <c r="A93" s="135"/>
      <c r="B93" s="129"/>
      <c r="C93" s="136"/>
      <c r="D93" s="131"/>
      <c r="E93" s="126"/>
      <c r="F93" s="132"/>
      <c r="G93" s="133"/>
      <c r="H93" s="137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e">
        <f t="shared" si="8"/>
        <v>#N/A</v>
      </c>
    </row>
    <row r="94" spans="1:14" ht="45" customHeight="1">
      <c r="A94" s="135"/>
      <c r="B94" s="129"/>
      <c r="C94" s="136"/>
      <c r="D94" s="131"/>
      <c r="E94" s="126"/>
      <c r="F94" s="132"/>
      <c r="G94" s="133"/>
      <c r="H94" s="137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e">
        <f t="shared" si="8"/>
        <v>#N/A</v>
      </c>
    </row>
    <row r="95" spans="1:14" ht="45" customHeight="1">
      <c r="A95" s="135"/>
      <c r="B95" s="129"/>
      <c r="C95" s="136"/>
      <c r="D95" s="131"/>
      <c r="E95" s="126"/>
      <c r="F95" s="132"/>
      <c r="G95" s="133"/>
      <c r="H95" s="137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e">
        <f t="shared" si="8"/>
        <v>#N/A</v>
      </c>
    </row>
    <row r="96" spans="1:14" ht="45" customHeight="1">
      <c r="A96" s="135"/>
      <c r="B96" s="129"/>
      <c r="C96" s="136"/>
      <c r="D96" s="131"/>
      <c r="E96" s="126"/>
      <c r="F96" s="132"/>
      <c r="G96" s="133"/>
      <c r="H96" s="137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e">
        <f t="shared" si="8"/>
        <v>#N/A</v>
      </c>
    </row>
    <row r="97" spans="1:14" ht="45" customHeight="1">
      <c r="A97" s="135"/>
      <c r="B97" s="129"/>
      <c r="C97" s="136"/>
      <c r="D97" s="131"/>
      <c r="E97" s="126"/>
      <c r="F97" s="132"/>
      <c r="G97" s="133"/>
      <c r="H97" s="137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e">
        <f t="shared" si="8"/>
        <v>#N/A</v>
      </c>
    </row>
    <row r="98" spans="1:14" ht="45" customHeight="1">
      <c r="A98" s="135"/>
      <c r="B98" s="129"/>
      <c r="C98" s="136"/>
      <c r="D98" s="131"/>
      <c r="E98" s="126"/>
      <c r="F98" s="132"/>
      <c r="G98" s="133"/>
      <c r="H98" s="137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e">
        <f t="shared" si="8"/>
        <v>#N/A</v>
      </c>
    </row>
    <row r="99" spans="1:14" ht="45" customHeight="1">
      <c r="A99" s="135"/>
      <c r="B99" s="129"/>
      <c r="C99" s="136"/>
      <c r="D99" s="131"/>
      <c r="E99" s="126"/>
      <c r="F99" s="132"/>
      <c r="G99" s="133"/>
      <c r="H99" s="137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e">
        <f t="shared" si="8"/>
        <v>#N/A</v>
      </c>
    </row>
    <row r="100" spans="1:14" ht="45" customHeight="1">
      <c r="A100" s="135"/>
      <c r="B100" s="129"/>
      <c r="C100" s="136"/>
      <c r="D100" s="131"/>
      <c r="E100" s="126"/>
      <c r="F100" s="132"/>
      <c r="G100" s="133"/>
      <c r="H100" s="137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e">
        <f t="shared" si="8"/>
        <v>#N/A</v>
      </c>
    </row>
    <row r="101" spans="1:14" ht="45" customHeight="1">
      <c r="A101" s="135"/>
      <c r="B101" s="129"/>
      <c r="C101" s="136"/>
      <c r="D101" s="131"/>
      <c r="E101" s="126"/>
      <c r="F101" s="132"/>
      <c r="G101" s="133"/>
      <c r="H101" s="137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e">
        <f t="shared" si="8"/>
        <v>#N/A</v>
      </c>
    </row>
    <row r="102" spans="1:14" ht="45" customHeight="1">
      <c r="A102" s="135"/>
      <c r="B102" s="129"/>
      <c r="C102" s="136"/>
      <c r="D102" s="131"/>
      <c r="E102" s="126"/>
      <c r="F102" s="132"/>
      <c r="G102" s="133"/>
      <c r="H102" s="137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e">
        <f t="shared" si="8"/>
        <v>#N/A</v>
      </c>
    </row>
    <row r="103" spans="1:14" ht="45" customHeight="1">
      <c r="A103" s="135"/>
      <c r="B103" s="129"/>
      <c r="C103" s="136"/>
      <c r="D103" s="131"/>
      <c r="E103" s="126"/>
      <c r="F103" s="132"/>
      <c r="G103" s="133"/>
      <c r="H103" s="137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e">
        <f t="shared" si="8"/>
        <v>#N/A</v>
      </c>
    </row>
    <row r="104" spans="1:14" ht="45" customHeight="1">
      <c r="A104" s="135"/>
      <c r="B104" s="129"/>
      <c r="C104" s="136"/>
      <c r="D104" s="131"/>
      <c r="E104" s="126"/>
      <c r="F104" s="132"/>
      <c r="G104" s="133"/>
      <c r="H104" s="137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e">
        <f t="shared" si="8"/>
        <v>#N/A</v>
      </c>
    </row>
    <row r="105" spans="1:14" ht="45" customHeight="1">
      <c r="A105" s="135"/>
      <c r="B105" s="129"/>
      <c r="C105" s="136"/>
      <c r="D105" s="131"/>
      <c r="E105" s="126"/>
      <c r="F105" s="132"/>
      <c r="G105" s="133"/>
      <c r="H105" s="137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e">
        <f t="shared" si="8"/>
        <v>#N/A</v>
      </c>
    </row>
    <row r="106" spans="1:14" ht="45" customHeight="1">
      <c r="A106" s="135"/>
      <c r="B106" s="129"/>
      <c r="C106" s="136"/>
      <c r="D106" s="131"/>
      <c r="E106" s="126"/>
      <c r="F106" s="132"/>
      <c r="G106" s="133"/>
      <c r="H106" s="137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e">
        <f t="shared" si="8"/>
        <v>#N/A</v>
      </c>
    </row>
    <row r="107" spans="1:14" ht="45" customHeight="1">
      <c r="A107" s="135"/>
      <c r="B107" s="129"/>
      <c r="C107" s="136"/>
      <c r="D107" s="131"/>
      <c r="E107" s="126"/>
      <c r="F107" s="132"/>
      <c r="G107" s="133"/>
      <c r="H107" s="137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e">
        <f t="shared" si="8"/>
        <v>#N/A</v>
      </c>
    </row>
    <row r="108" spans="1:14" ht="45" customHeight="1">
      <c r="A108" s="135"/>
      <c r="B108" s="129"/>
      <c r="C108" s="136"/>
      <c r="D108" s="131"/>
      <c r="E108" s="126"/>
      <c r="F108" s="132"/>
      <c r="G108" s="133"/>
      <c r="H108" s="137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e">
        <f t="shared" si="8"/>
        <v>#N/A</v>
      </c>
    </row>
    <row r="109" spans="1:14" ht="45" customHeight="1">
      <c r="A109" s="135"/>
      <c r="B109" s="129"/>
      <c r="C109" s="136"/>
      <c r="D109" s="131"/>
      <c r="E109" s="126"/>
      <c r="F109" s="132"/>
      <c r="G109" s="133"/>
      <c r="H109" s="137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e">
        <f t="shared" si="8"/>
        <v>#N/A</v>
      </c>
    </row>
    <row r="110" spans="1:14" ht="45" customHeight="1">
      <c r="A110" s="135"/>
      <c r="B110" s="129"/>
      <c r="C110" s="136"/>
      <c r="D110" s="131"/>
      <c r="E110" s="126"/>
      <c r="F110" s="132"/>
      <c r="G110" s="133"/>
      <c r="H110" s="137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e">
        <f t="shared" si="8"/>
        <v>#N/A</v>
      </c>
    </row>
    <row r="111" spans="1:14" ht="45" customHeight="1">
      <c r="A111" s="135"/>
      <c r="B111" s="129"/>
      <c r="C111" s="136"/>
      <c r="D111" s="131"/>
      <c r="E111" s="126"/>
      <c r="F111" s="132"/>
      <c r="G111" s="133"/>
      <c r="H111" s="137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e">
        <f t="shared" si="8"/>
        <v>#N/A</v>
      </c>
    </row>
    <row r="112" spans="1:14" ht="45" customHeight="1">
      <c r="A112" s="135"/>
      <c r="B112" s="129"/>
      <c r="C112" s="136"/>
      <c r="D112" s="131"/>
      <c r="E112" s="126"/>
      <c r="F112" s="132"/>
      <c r="G112" s="133"/>
      <c r="H112" s="137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e">
        <f t="shared" si="8"/>
        <v>#N/A</v>
      </c>
    </row>
    <row r="113" spans="1:14" ht="45" customHeight="1">
      <c r="A113" s="135"/>
      <c r="B113" s="129"/>
      <c r="C113" s="136"/>
      <c r="D113" s="131"/>
      <c r="E113" s="126"/>
      <c r="F113" s="132"/>
      <c r="G113" s="133"/>
      <c r="H113" s="137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e">
        <f t="shared" si="8"/>
        <v>#N/A</v>
      </c>
    </row>
    <row r="114" spans="1:14" ht="45" customHeight="1">
      <c r="A114" s="135"/>
      <c r="B114" s="129"/>
      <c r="C114" s="136"/>
      <c r="D114" s="131"/>
      <c r="E114" s="126"/>
      <c r="F114" s="132"/>
      <c r="G114" s="133"/>
      <c r="H114" s="137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e">
        <f t="shared" si="8"/>
        <v>#N/A</v>
      </c>
    </row>
    <row r="115" spans="1:14" ht="45" customHeight="1">
      <c r="A115" s="135"/>
      <c r="B115" s="129"/>
      <c r="C115" s="136"/>
      <c r="D115" s="131"/>
      <c r="E115" s="126"/>
      <c r="F115" s="132"/>
      <c r="G115" s="133"/>
      <c r="H115" s="137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e">
        <f t="shared" si="8"/>
        <v>#N/A</v>
      </c>
    </row>
    <row r="116" spans="1:14" ht="45" customHeight="1">
      <c r="A116" s="135"/>
      <c r="B116" s="129"/>
      <c r="C116" s="136"/>
      <c r="D116" s="131"/>
      <c r="E116" s="126"/>
      <c r="F116" s="132"/>
      <c r="G116" s="133"/>
      <c r="H116" s="137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e">
        <f t="shared" si="8"/>
        <v>#N/A</v>
      </c>
    </row>
    <row r="117" spans="1:14" ht="45" customHeight="1">
      <c r="A117" s="135"/>
      <c r="B117" s="129"/>
      <c r="C117" s="136"/>
      <c r="D117" s="131"/>
      <c r="E117" s="126"/>
      <c r="F117" s="132"/>
      <c r="G117" s="133"/>
      <c r="H117" s="137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e">
        <f t="shared" si="8"/>
        <v>#N/A</v>
      </c>
    </row>
    <row r="118" spans="1:14" ht="45" customHeight="1">
      <c r="A118" s="135"/>
      <c r="B118" s="129"/>
      <c r="C118" s="136"/>
      <c r="D118" s="131"/>
      <c r="E118" s="126"/>
      <c r="F118" s="132"/>
      <c r="G118" s="133"/>
      <c r="H118" s="137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e">
        <f t="shared" si="8"/>
        <v>#N/A</v>
      </c>
    </row>
    <row r="119" spans="1:14" ht="45" customHeight="1">
      <c r="A119" s="135"/>
      <c r="B119" s="129"/>
      <c r="C119" s="136"/>
      <c r="D119" s="131"/>
      <c r="E119" s="126"/>
      <c r="F119" s="132"/>
      <c r="G119" s="133"/>
      <c r="H119" s="137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e">
        <f t="shared" si="8"/>
        <v>#N/A</v>
      </c>
    </row>
    <row r="120" spans="1:14" ht="45" customHeight="1">
      <c r="A120" s="135"/>
      <c r="B120" s="129"/>
      <c r="C120" s="136"/>
      <c r="D120" s="131"/>
      <c r="E120" s="126"/>
      <c r="F120" s="132"/>
      <c r="G120" s="133"/>
      <c r="H120" s="137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e">
        <f t="shared" si="8"/>
        <v>#N/A</v>
      </c>
    </row>
    <row r="121" spans="1:14" ht="45" customHeight="1">
      <c r="A121" s="135"/>
      <c r="B121" s="129"/>
      <c r="C121" s="136"/>
      <c r="D121" s="131"/>
      <c r="E121" s="126"/>
      <c r="F121" s="132"/>
      <c r="G121" s="133"/>
      <c r="H121" s="137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e">
        <f t="shared" si="8"/>
        <v>#N/A</v>
      </c>
    </row>
    <row r="122" spans="1:14" ht="45" customHeight="1">
      <c r="A122" s="135"/>
      <c r="B122" s="129"/>
      <c r="C122" s="136"/>
      <c r="D122" s="131"/>
      <c r="E122" s="126"/>
      <c r="F122" s="132"/>
      <c r="G122" s="133"/>
      <c r="H122" s="137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e">
        <f t="shared" si="8"/>
        <v>#N/A</v>
      </c>
    </row>
    <row r="123" spans="1:14" ht="45" customHeight="1">
      <c r="A123" s="135"/>
      <c r="B123" s="129"/>
      <c r="C123" s="136"/>
      <c r="D123" s="131"/>
      <c r="E123" s="126"/>
      <c r="F123" s="132"/>
      <c r="G123" s="133"/>
      <c r="H123" s="137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e">
        <f t="shared" si="8"/>
        <v>#N/A</v>
      </c>
    </row>
    <row r="124" spans="1:14" ht="45" customHeight="1">
      <c r="A124" s="135"/>
      <c r="B124" s="129"/>
      <c r="C124" s="136"/>
      <c r="D124" s="131"/>
      <c r="E124" s="126"/>
      <c r="F124" s="132"/>
      <c r="G124" s="133"/>
      <c r="H124" s="137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e">
        <f t="shared" si="8"/>
        <v>#N/A</v>
      </c>
    </row>
    <row r="125" spans="1:14" ht="45" customHeight="1">
      <c r="A125" s="135"/>
      <c r="B125" s="129"/>
      <c r="C125" s="136"/>
      <c r="D125" s="131"/>
      <c r="E125" s="126"/>
      <c r="F125" s="132"/>
      <c r="G125" s="133"/>
      <c r="H125" s="137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e">
        <f t="shared" si="8"/>
        <v>#N/A</v>
      </c>
    </row>
    <row r="126" spans="1:14" ht="45" customHeight="1">
      <c r="A126" s="135"/>
      <c r="B126" s="129"/>
      <c r="C126" s="136"/>
      <c r="D126" s="131"/>
      <c r="E126" s="126"/>
      <c r="F126" s="132"/>
      <c r="G126" s="133"/>
      <c r="H126" s="137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e">
        <f t="shared" si="8"/>
        <v>#N/A</v>
      </c>
    </row>
    <row r="127" spans="1:14" ht="45" customHeight="1">
      <c r="A127" s="135"/>
      <c r="B127" s="129"/>
      <c r="C127" s="136"/>
      <c r="D127" s="131"/>
      <c r="E127" s="126"/>
      <c r="F127" s="132"/>
      <c r="G127" s="133"/>
      <c r="H127" s="137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e">
        <f t="shared" si="8"/>
        <v>#N/A</v>
      </c>
    </row>
    <row r="128" spans="1:14" ht="45" customHeight="1">
      <c r="A128" s="135"/>
      <c r="B128" s="129"/>
      <c r="C128" s="136"/>
      <c r="D128" s="131"/>
      <c r="E128" s="126"/>
      <c r="F128" s="132"/>
      <c r="G128" s="133"/>
      <c r="H128" s="137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e">
        <f t="shared" si="8"/>
        <v>#N/A</v>
      </c>
    </row>
    <row r="129" spans="1:14" ht="45" customHeight="1">
      <c r="A129" s="135"/>
      <c r="B129" s="129"/>
      <c r="C129" s="136"/>
      <c r="D129" s="131"/>
      <c r="E129" s="126"/>
      <c r="F129" s="132"/>
      <c r="G129" s="133"/>
      <c r="H129" s="137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e">
        <f t="shared" si="8"/>
        <v>#N/A</v>
      </c>
    </row>
    <row r="130" spans="1:14" ht="45" customHeight="1">
      <c r="A130" s="135"/>
      <c r="B130" s="129"/>
      <c r="C130" s="136"/>
      <c r="D130" s="131"/>
      <c r="E130" s="126"/>
      <c r="F130" s="132"/>
      <c r="G130" s="133"/>
      <c r="H130" s="137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e">
        <f t="shared" si="8"/>
        <v>#N/A</v>
      </c>
    </row>
    <row r="131" spans="1:14" ht="45" customHeight="1">
      <c r="A131" s="135"/>
      <c r="B131" s="129"/>
      <c r="C131" s="136"/>
      <c r="D131" s="131"/>
      <c r="E131" s="126"/>
      <c r="F131" s="132"/>
      <c r="G131" s="133"/>
      <c r="H131" s="137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e">
        <f t="shared" si="8"/>
        <v>#N/A</v>
      </c>
    </row>
    <row r="132" spans="1:14" ht="45" customHeight="1">
      <c r="A132" s="135"/>
      <c r="B132" s="129"/>
      <c r="C132" s="136"/>
      <c r="D132" s="131"/>
      <c r="E132" s="126"/>
      <c r="F132" s="132"/>
      <c r="G132" s="133"/>
      <c r="H132" s="137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e">
        <f t="shared" ref="N132:N195" si="13">AND($M$1="Flat Rate",M132="Staff_Costs")</f>
        <v>#N/A</v>
      </c>
    </row>
    <row r="133" spans="1:14" ht="45" customHeight="1">
      <c r="A133" s="135"/>
      <c r="B133" s="129"/>
      <c r="C133" s="136"/>
      <c r="D133" s="131"/>
      <c r="E133" s="126"/>
      <c r="F133" s="132"/>
      <c r="G133" s="133"/>
      <c r="H133" s="137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e">
        <f t="shared" si="13"/>
        <v>#N/A</v>
      </c>
    </row>
    <row r="134" spans="1:14" ht="45" customHeight="1">
      <c r="A134" s="135"/>
      <c r="B134" s="129"/>
      <c r="C134" s="136"/>
      <c r="D134" s="131"/>
      <c r="E134" s="126"/>
      <c r="F134" s="132"/>
      <c r="G134" s="133"/>
      <c r="H134" s="137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e">
        <f t="shared" si="13"/>
        <v>#N/A</v>
      </c>
    </row>
    <row r="135" spans="1:14" ht="45" customHeight="1">
      <c r="A135" s="135"/>
      <c r="B135" s="129"/>
      <c r="C135" s="136"/>
      <c r="D135" s="131"/>
      <c r="E135" s="126"/>
      <c r="F135" s="132"/>
      <c r="G135" s="133"/>
      <c r="H135" s="137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e">
        <f t="shared" si="13"/>
        <v>#N/A</v>
      </c>
    </row>
    <row r="136" spans="1:14" ht="45" customHeight="1">
      <c r="A136" s="135"/>
      <c r="B136" s="129"/>
      <c r="C136" s="136"/>
      <c r="D136" s="131"/>
      <c r="E136" s="126"/>
      <c r="F136" s="132"/>
      <c r="G136" s="133"/>
      <c r="H136" s="137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e">
        <f t="shared" si="13"/>
        <v>#N/A</v>
      </c>
    </row>
    <row r="137" spans="1:14" ht="45" customHeight="1">
      <c r="A137" s="135"/>
      <c r="B137" s="129"/>
      <c r="C137" s="136"/>
      <c r="D137" s="131"/>
      <c r="E137" s="126"/>
      <c r="F137" s="132"/>
      <c r="G137" s="133"/>
      <c r="H137" s="137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e">
        <f t="shared" si="13"/>
        <v>#N/A</v>
      </c>
    </row>
    <row r="138" spans="1:14" ht="45" customHeight="1">
      <c r="A138" s="135"/>
      <c r="B138" s="129"/>
      <c r="C138" s="136"/>
      <c r="D138" s="131"/>
      <c r="E138" s="126"/>
      <c r="F138" s="132"/>
      <c r="G138" s="133"/>
      <c r="H138" s="137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e">
        <f t="shared" si="13"/>
        <v>#N/A</v>
      </c>
    </row>
    <row r="139" spans="1:14" ht="45" customHeight="1">
      <c r="A139" s="135"/>
      <c r="B139" s="129"/>
      <c r="C139" s="136"/>
      <c r="D139" s="131"/>
      <c r="E139" s="126"/>
      <c r="F139" s="132"/>
      <c r="G139" s="133"/>
      <c r="H139" s="137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e">
        <f t="shared" si="13"/>
        <v>#N/A</v>
      </c>
    </row>
    <row r="140" spans="1:14" ht="45" customHeight="1">
      <c r="A140" s="135"/>
      <c r="B140" s="129"/>
      <c r="C140" s="136"/>
      <c r="D140" s="131"/>
      <c r="E140" s="126"/>
      <c r="F140" s="132"/>
      <c r="G140" s="133"/>
      <c r="H140" s="137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e">
        <f t="shared" si="13"/>
        <v>#N/A</v>
      </c>
    </row>
    <row r="141" spans="1:14" ht="45" customHeight="1">
      <c r="A141" s="135"/>
      <c r="B141" s="129"/>
      <c r="C141" s="136"/>
      <c r="D141" s="131"/>
      <c r="E141" s="126"/>
      <c r="F141" s="132"/>
      <c r="G141" s="133"/>
      <c r="H141" s="137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e">
        <f t="shared" si="13"/>
        <v>#N/A</v>
      </c>
    </row>
    <row r="142" spans="1:14" ht="45" customHeight="1">
      <c r="A142" s="135"/>
      <c r="B142" s="129"/>
      <c r="C142" s="136"/>
      <c r="D142" s="131"/>
      <c r="E142" s="126"/>
      <c r="F142" s="132"/>
      <c r="G142" s="133"/>
      <c r="H142" s="137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e">
        <f t="shared" si="13"/>
        <v>#N/A</v>
      </c>
    </row>
    <row r="143" spans="1:14" ht="45" customHeight="1">
      <c r="A143" s="135"/>
      <c r="B143" s="129"/>
      <c r="C143" s="136"/>
      <c r="D143" s="131"/>
      <c r="E143" s="126"/>
      <c r="F143" s="132"/>
      <c r="G143" s="133"/>
      <c r="H143" s="137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e">
        <f t="shared" si="13"/>
        <v>#N/A</v>
      </c>
    </row>
    <row r="144" spans="1:14" ht="45" customHeight="1">
      <c r="A144" s="135"/>
      <c r="B144" s="129"/>
      <c r="C144" s="136"/>
      <c r="D144" s="131"/>
      <c r="E144" s="126"/>
      <c r="F144" s="132"/>
      <c r="G144" s="133"/>
      <c r="H144" s="137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e">
        <f t="shared" si="13"/>
        <v>#N/A</v>
      </c>
    </row>
    <row r="145" spans="1:14" ht="45" customHeight="1">
      <c r="A145" s="135"/>
      <c r="B145" s="129"/>
      <c r="C145" s="136"/>
      <c r="D145" s="131"/>
      <c r="E145" s="126"/>
      <c r="F145" s="132"/>
      <c r="G145" s="133"/>
      <c r="H145" s="137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e">
        <f t="shared" si="13"/>
        <v>#N/A</v>
      </c>
    </row>
    <row r="146" spans="1:14" ht="45" customHeight="1">
      <c r="A146" s="135"/>
      <c r="B146" s="129"/>
      <c r="C146" s="136"/>
      <c r="D146" s="131"/>
      <c r="E146" s="126"/>
      <c r="F146" s="132"/>
      <c r="G146" s="133"/>
      <c r="H146" s="137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e">
        <f t="shared" si="13"/>
        <v>#N/A</v>
      </c>
    </row>
    <row r="147" spans="1:14" ht="45" customHeight="1">
      <c r="A147" s="135"/>
      <c r="B147" s="129"/>
      <c r="C147" s="136"/>
      <c r="D147" s="131"/>
      <c r="E147" s="126"/>
      <c r="F147" s="132"/>
      <c r="G147" s="133"/>
      <c r="H147" s="137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e">
        <f t="shared" si="13"/>
        <v>#N/A</v>
      </c>
    </row>
    <row r="148" spans="1:14" ht="45" customHeight="1">
      <c r="A148" s="135"/>
      <c r="B148" s="129"/>
      <c r="C148" s="136"/>
      <c r="D148" s="131"/>
      <c r="E148" s="126"/>
      <c r="F148" s="132"/>
      <c r="G148" s="133"/>
      <c r="H148" s="137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e">
        <f t="shared" si="13"/>
        <v>#N/A</v>
      </c>
    </row>
    <row r="149" spans="1:14" ht="45" customHeight="1">
      <c r="A149" s="135"/>
      <c r="B149" s="129"/>
      <c r="C149" s="136"/>
      <c r="D149" s="131"/>
      <c r="E149" s="126"/>
      <c r="F149" s="132"/>
      <c r="G149" s="133"/>
      <c r="H149" s="137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e">
        <f t="shared" si="13"/>
        <v>#N/A</v>
      </c>
    </row>
    <row r="150" spans="1:14" ht="45" customHeight="1">
      <c r="A150" s="135"/>
      <c r="B150" s="129"/>
      <c r="C150" s="136"/>
      <c r="D150" s="131"/>
      <c r="E150" s="126"/>
      <c r="F150" s="132"/>
      <c r="G150" s="133"/>
      <c r="H150" s="137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e">
        <f t="shared" si="13"/>
        <v>#N/A</v>
      </c>
    </row>
    <row r="151" spans="1:14" ht="45" customHeight="1">
      <c r="A151" s="135"/>
      <c r="B151" s="129"/>
      <c r="C151" s="136"/>
      <c r="D151" s="131"/>
      <c r="E151" s="126"/>
      <c r="F151" s="132"/>
      <c r="G151" s="133"/>
      <c r="H151" s="137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e">
        <f t="shared" si="13"/>
        <v>#N/A</v>
      </c>
    </row>
    <row r="152" spans="1:14" ht="45" customHeight="1">
      <c r="A152" s="135"/>
      <c r="B152" s="129"/>
      <c r="C152" s="136"/>
      <c r="D152" s="131"/>
      <c r="E152" s="126"/>
      <c r="F152" s="132"/>
      <c r="G152" s="133"/>
      <c r="H152" s="137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e">
        <f t="shared" si="13"/>
        <v>#N/A</v>
      </c>
    </row>
    <row r="153" spans="1:14" ht="45" customHeight="1">
      <c r="A153" s="135"/>
      <c r="B153" s="129"/>
      <c r="C153" s="136"/>
      <c r="D153" s="131"/>
      <c r="E153" s="126"/>
      <c r="F153" s="132"/>
      <c r="G153" s="133"/>
      <c r="H153" s="137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e">
        <f t="shared" si="13"/>
        <v>#N/A</v>
      </c>
    </row>
    <row r="154" spans="1:14" ht="45" customHeight="1">
      <c r="A154" s="135"/>
      <c r="B154" s="129"/>
      <c r="C154" s="136"/>
      <c r="D154" s="131"/>
      <c r="E154" s="126"/>
      <c r="F154" s="132"/>
      <c r="G154" s="133"/>
      <c r="H154" s="137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e">
        <f t="shared" si="13"/>
        <v>#N/A</v>
      </c>
    </row>
    <row r="155" spans="1:14" ht="45" customHeight="1">
      <c r="A155" s="135"/>
      <c r="B155" s="129"/>
      <c r="C155" s="136"/>
      <c r="D155" s="131"/>
      <c r="E155" s="126"/>
      <c r="F155" s="132"/>
      <c r="G155" s="133"/>
      <c r="H155" s="137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e">
        <f t="shared" si="13"/>
        <v>#N/A</v>
      </c>
    </row>
    <row r="156" spans="1:14" ht="45" customHeight="1">
      <c r="A156" s="135"/>
      <c r="B156" s="129"/>
      <c r="C156" s="136"/>
      <c r="D156" s="131"/>
      <c r="E156" s="126"/>
      <c r="F156" s="132"/>
      <c r="G156" s="133"/>
      <c r="H156" s="137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e">
        <f t="shared" si="13"/>
        <v>#N/A</v>
      </c>
    </row>
    <row r="157" spans="1:14" ht="45" customHeight="1">
      <c r="A157" s="135"/>
      <c r="B157" s="129"/>
      <c r="C157" s="136"/>
      <c r="D157" s="131"/>
      <c r="E157" s="126"/>
      <c r="F157" s="132"/>
      <c r="G157" s="133"/>
      <c r="H157" s="137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e">
        <f t="shared" si="13"/>
        <v>#N/A</v>
      </c>
    </row>
    <row r="158" spans="1:14" ht="45" customHeight="1">
      <c r="A158" s="135"/>
      <c r="B158" s="129"/>
      <c r="C158" s="136"/>
      <c r="D158" s="131"/>
      <c r="E158" s="126"/>
      <c r="F158" s="132"/>
      <c r="G158" s="133"/>
      <c r="H158" s="137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e">
        <f t="shared" si="13"/>
        <v>#N/A</v>
      </c>
    </row>
    <row r="159" spans="1:14" ht="45" customHeight="1">
      <c r="A159" s="135"/>
      <c r="B159" s="129"/>
      <c r="C159" s="136"/>
      <c r="D159" s="131"/>
      <c r="E159" s="126"/>
      <c r="F159" s="132"/>
      <c r="G159" s="133"/>
      <c r="H159" s="137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e">
        <f t="shared" si="13"/>
        <v>#N/A</v>
      </c>
    </row>
    <row r="160" spans="1:14" ht="45" customHeight="1">
      <c r="A160" s="135"/>
      <c r="B160" s="129"/>
      <c r="C160" s="136"/>
      <c r="D160" s="131"/>
      <c r="E160" s="126"/>
      <c r="F160" s="132"/>
      <c r="G160" s="133"/>
      <c r="H160" s="137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e">
        <f t="shared" si="13"/>
        <v>#N/A</v>
      </c>
    </row>
    <row r="161" spans="1:14" ht="45" customHeight="1">
      <c r="A161" s="135"/>
      <c r="B161" s="129"/>
      <c r="C161" s="136"/>
      <c r="D161" s="131"/>
      <c r="E161" s="126"/>
      <c r="F161" s="132"/>
      <c r="G161" s="133"/>
      <c r="H161" s="137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e">
        <f t="shared" si="13"/>
        <v>#N/A</v>
      </c>
    </row>
    <row r="162" spans="1:14" ht="45" customHeight="1">
      <c r="A162" s="135"/>
      <c r="B162" s="129"/>
      <c r="C162" s="136"/>
      <c r="D162" s="131"/>
      <c r="E162" s="126"/>
      <c r="F162" s="132"/>
      <c r="G162" s="133"/>
      <c r="H162" s="137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e">
        <f t="shared" si="13"/>
        <v>#N/A</v>
      </c>
    </row>
    <row r="163" spans="1:14" ht="45" customHeight="1">
      <c r="A163" s="135"/>
      <c r="B163" s="129"/>
      <c r="C163" s="136"/>
      <c r="D163" s="131"/>
      <c r="E163" s="126"/>
      <c r="F163" s="132"/>
      <c r="G163" s="133"/>
      <c r="H163" s="137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e">
        <f t="shared" si="13"/>
        <v>#N/A</v>
      </c>
    </row>
    <row r="164" spans="1:14" ht="45" customHeight="1">
      <c r="A164" s="135"/>
      <c r="B164" s="129"/>
      <c r="C164" s="136"/>
      <c r="D164" s="131"/>
      <c r="E164" s="126"/>
      <c r="F164" s="132"/>
      <c r="G164" s="133"/>
      <c r="H164" s="137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e">
        <f t="shared" si="13"/>
        <v>#N/A</v>
      </c>
    </row>
    <row r="165" spans="1:14" ht="45" customHeight="1">
      <c r="A165" s="135"/>
      <c r="B165" s="129"/>
      <c r="C165" s="136"/>
      <c r="D165" s="131"/>
      <c r="E165" s="126"/>
      <c r="F165" s="132"/>
      <c r="G165" s="133"/>
      <c r="H165" s="137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e">
        <f t="shared" si="13"/>
        <v>#N/A</v>
      </c>
    </row>
    <row r="166" spans="1:14" ht="45" customHeight="1">
      <c r="A166" s="135"/>
      <c r="B166" s="129"/>
      <c r="C166" s="136"/>
      <c r="D166" s="131"/>
      <c r="E166" s="126"/>
      <c r="F166" s="132"/>
      <c r="G166" s="133"/>
      <c r="H166" s="137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e">
        <f t="shared" si="13"/>
        <v>#N/A</v>
      </c>
    </row>
    <row r="167" spans="1:14" ht="45" customHeight="1">
      <c r="A167" s="135"/>
      <c r="B167" s="129"/>
      <c r="C167" s="136"/>
      <c r="D167" s="131"/>
      <c r="E167" s="126"/>
      <c r="F167" s="132"/>
      <c r="G167" s="133"/>
      <c r="H167" s="137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e">
        <f t="shared" si="13"/>
        <v>#N/A</v>
      </c>
    </row>
    <row r="168" spans="1:14" ht="45" customHeight="1">
      <c r="A168" s="135"/>
      <c r="B168" s="129"/>
      <c r="C168" s="136"/>
      <c r="D168" s="131"/>
      <c r="E168" s="126"/>
      <c r="F168" s="132"/>
      <c r="G168" s="133"/>
      <c r="H168" s="137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e">
        <f t="shared" si="13"/>
        <v>#N/A</v>
      </c>
    </row>
    <row r="169" spans="1:14" ht="45" customHeight="1">
      <c r="A169" s="135"/>
      <c r="B169" s="129"/>
      <c r="C169" s="136"/>
      <c r="D169" s="131"/>
      <c r="E169" s="126"/>
      <c r="F169" s="132"/>
      <c r="G169" s="133"/>
      <c r="H169" s="137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e">
        <f t="shared" si="13"/>
        <v>#N/A</v>
      </c>
    </row>
    <row r="170" spans="1:14" ht="45" customHeight="1">
      <c r="A170" s="135"/>
      <c r="B170" s="129"/>
      <c r="C170" s="136"/>
      <c r="D170" s="131"/>
      <c r="E170" s="126"/>
      <c r="F170" s="132"/>
      <c r="G170" s="133"/>
      <c r="H170" s="137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e">
        <f t="shared" si="13"/>
        <v>#N/A</v>
      </c>
    </row>
    <row r="171" spans="1:14" ht="45" customHeight="1">
      <c r="A171" s="135"/>
      <c r="B171" s="129"/>
      <c r="C171" s="136"/>
      <c r="D171" s="131"/>
      <c r="E171" s="126"/>
      <c r="F171" s="132"/>
      <c r="G171" s="133"/>
      <c r="H171" s="137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e">
        <f t="shared" si="13"/>
        <v>#N/A</v>
      </c>
    </row>
    <row r="172" spans="1:14" ht="45" customHeight="1">
      <c r="A172" s="135"/>
      <c r="B172" s="129"/>
      <c r="C172" s="136"/>
      <c r="D172" s="131"/>
      <c r="E172" s="126"/>
      <c r="F172" s="132"/>
      <c r="G172" s="133"/>
      <c r="H172" s="137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e">
        <f t="shared" si="13"/>
        <v>#N/A</v>
      </c>
    </row>
    <row r="173" spans="1:14" ht="45" customHeight="1">
      <c r="A173" s="135"/>
      <c r="B173" s="129"/>
      <c r="C173" s="136"/>
      <c r="D173" s="131"/>
      <c r="E173" s="126"/>
      <c r="F173" s="132"/>
      <c r="G173" s="133"/>
      <c r="H173" s="137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e">
        <f t="shared" si="13"/>
        <v>#N/A</v>
      </c>
    </row>
    <row r="174" spans="1:14" ht="45" customHeight="1">
      <c r="A174" s="135"/>
      <c r="B174" s="129"/>
      <c r="C174" s="136"/>
      <c r="D174" s="131"/>
      <c r="E174" s="126"/>
      <c r="F174" s="132"/>
      <c r="G174" s="133"/>
      <c r="H174" s="137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e">
        <f t="shared" si="13"/>
        <v>#N/A</v>
      </c>
    </row>
    <row r="175" spans="1:14" ht="45" customHeight="1">
      <c r="A175" s="135"/>
      <c r="B175" s="129"/>
      <c r="C175" s="136"/>
      <c r="D175" s="131"/>
      <c r="E175" s="126"/>
      <c r="F175" s="132"/>
      <c r="G175" s="133"/>
      <c r="H175" s="137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e">
        <f t="shared" si="13"/>
        <v>#N/A</v>
      </c>
    </row>
    <row r="176" spans="1:14" ht="45" customHeight="1">
      <c r="A176" s="135"/>
      <c r="B176" s="129"/>
      <c r="C176" s="136"/>
      <c r="D176" s="131"/>
      <c r="E176" s="126"/>
      <c r="F176" s="132"/>
      <c r="G176" s="133"/>
      <c r="H176" s="137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e">
        <f t="shared" si="13"/>
        <v>#N/A</v>
      </c>
    </row>
    <row r="177" spans="1:14" ht="45" customHeight="1">
      <c r="A177" s="135"/>
      <c r="B177" s="129"/>
      <c r="C177" s="136"/>
      <c r="D177" s="131"/>
      <c r="E177" s="126"/>
      <c r="F177" s="132"/>
      <c r="G177" s="133"/>
      <c r="H177" s="137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e">
        <f t="shared" si="13"/>
        <v>#N/A</v>
      </c>
    </row>
    <row r="178" spans="1:14" ht="45" customHeight="1">
      <c r="A178" s="135"/>
      <c r="B178" s="129"/>
      <c r="C178" s="136"/>
      <c r="D178" s="131"/>
      <c r="E178" s="126"/>
      <c r="F178" s="132"/>
      <c r="G178" s="133"/>
      <c r="H178" s="137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e">
        <f t="shared" si="13"/>
        <v>#N/A</v>
      </c>
    </row>
    <row r="179" spans="1:14" ht="45" customHeight="1">
      <c r="A179" s="135"/>
      <c r="B179" s="129"/>
      <c r="C179" s="136"/>
      <c r="D179" s="131"/>
      <c r="E179" s="126"/>
      <c r="F179" s="132"/>
      <c r="G179" s="133"/>
      <c r="H179" s="137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e">
        <f t="shared" si="13"/>
        <v>#N/A</v>
      </c>
    </row>
    <row r="180" spans="1:14" ht="45" customHeight="1">
      <c r="A180" s="135"/>
      <c r="B180" s="129"/>
      <c r="C180" s="136"/>
      <c r="D180" s="131"/>
      <c r="E180" s="126"/>
      <c r="F180" s="132"/>
      <c r="G180" s="133"/>
      <c r="H180" s="137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e">
        <f t="shared" si="13"/>
        <v>#N/A</v>
      </c>
    </row>
    <row r="181" spans="1:14" ht="45" customHeight="1">
      <c r="A181" s="135"/>
      <c r="B181" s="129"/>
      <c r="C181" s="136"/>
      <c r="D181" s="131"/>
      <c r="E181" s="126"/>
      <c r="F181" s="132"/>
      <c r="G181" s="133"/>
      <c r="H181" s="137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e">
        <f t="shared" si="13"/>
        <v>#N/A</v>
      </c>
    </row>
    <row r="182" spans="1:14" ht="45" customHeight="1">
      <c r="A182" s="135"/>
      <c r="B182" s="129"/>
      <c r="C182" s="136"/>
      <c r="D182" s="131"/>
      <c r="E182" s="126"/>
      <c r="F182" s="132"/>
      <c r="G182" s="133"/>
      <c r="H182" s="137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e">
        <f t="shared" si="13"/>
        <v>#N/A</v>
      </c>
    </row>
    <row r="183" spans="1:14" ht="45" customHeight="1">
      <c r="A183" s="135"/>
      <c r="B183" s="129"/>
      <c r="C183" s="136"/>
      <c r="D183" s="131"/>
      <c r="E183" s="126"/>
      <c r="F183" s="132"/>
      <c r="G183" s="133"/>
      <c r="H183" s="137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e">
        <f t="shared" si="13"/>
        <v>#N/A</v>
      </c>
    </row>
    <row r="184" spans="1:14" ht="45" customHeight="1">
      <c r="A184" s="135"/>
      <c r="B184" s="129"/>
      <c r="C184" s="136"/>
      <c r="D184" s="131"/>
      <c r="E184" s="126"/>
      <c r="F184" s="132"/>
      <c r="G184" s="133"/>
      <c r="H184" s="137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e">
        <f t="shared" si="13"/>
        <v>#N/A</v>
      </c>
    </row>
    <row r="185" spans="1:14" ht="45" customHeight="1">
      <c r="A185" s="135"/>
      <c r="B185" s="129"/>
      <c r="C185" s="136"/>
      <c r="D185" s="131"/>
      <c r="E185" s="126"/>
      <c r="F185" s="132"/>
      <c r="G185" s="133"/>
      <c r="H185" s="137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e">
        <f t="shared" si="13"/>
        <v>#N/A</v>
      </c>
    </row>
    <row r="186" spans="1:14" ht="45" customHeight="1">
      <c r="A186" s="135"/>
      <c r="B186" s="129"/>
      <c r="C186" s="136"/>
      <c r="D186" s="131"/>
      <c r="E186" s="126"/>
      <c r="F186" s="132"/>
      <c r="G186" s="133"/>
      <c r="H186" s="137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e">
        <f t="shared" si="13"/>
        <v>#N/A</v>
      </c>
    </row>
    <row r="187" spans="1:14" ht="45" customHeight="1">
      <c r="A187" s="135"/>
      <c r="B187" s="129"/>
      <c r="C187" s="136"/>
      <c r="D187" s="131"/>
      <c r="E187" s="126"/>
      <c r="F187" s="132"/>
      <c r="G187" s="133"/>
      <c r="H187" s="137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e">
        <f t="shared" si="13"/>
        <v>#N/A</v>
      </c>
    </row>
    <row r="188" spans="1:14" ht="45" customHeight="1">
      <c r="A188" s="135"/>
      <c r="B188" s="129"/>
      <c r="C188" s="136"/>
      <c r="D188" s="131"/>
      <c r="E188" s="126"/>
      <c r="F188" s="132"/>
      <c r="G188" s="133"/>
      <c r="H188" s="137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e">
        <f t="shared" si="13"/>
        <v>#N/A</v>
      </c>
    </row>
    <row r="189" spans="1:14" ht="45" customHeight="1">
      <c r="A189" s="135"/>
      <c r="B189" s="129"/>
      <c r="C189" s="136"/>
      <c r="D189" s="131"/>
      <c r="E189" s="126"/>
      <c r="F189" s="132"/>
      <c r="G189" s="133"/>
      <c r="H189" s="137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e">
        <f t="shared" si="13"/>
        <v>#N/A</v>
      </c>
    </row>
    <row r="190" spans="1:14" ht="45" customHeight="1">
      <c r="A190" s="135"/>
      <c r="B190" s="129"/>
      <c r="C190" s="136"/>
      <c r="D190" s="131"/>
      <c r="E190" s="126"/>
      <c r="F190" s="132"/>
      <c r="G190" s="133"/>
      <c r="H190" s="137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e">
        <f t="shared" si="13"/>
        <v>#N/A</v>
      </c>
    </row>
    <row r="191" spans="1:14" ht="45" customHeight="1">
      <c r="A191" s="135"/>
      <c r="B191" s="129"/>
      <c r="C191" s="136"/>
      <c r="D191" s="131"/>
      <c r="E191" s="126"/>
      <c r="F191" s="132"/>
      <c r="G191" s="133"/>
      <c r="H191" s="137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e">
        <f t="shared" si="13"/>
        <v>#N/A</v>
      </c>
    </row>
    <row r="192" spans="1:14" ht="45" customHeight="1">
      <c r="A192" s="135"/>
      <c r="B192" s="129"/>
      <c r="C192" s="136"/>
      <c r="D192" s="131"/>
      <c r="E192" s="126"/>
      <c r="F192" s="132"/>
      <c r="G192" s="133"/>
      <c r="H192" s="137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e">
        <f t="shared" si="13"/>
        <v>#N/A</v>
      </c>
    </row>
    <row r="193" spans="1:16" ht="45" customHeight="1">
      <c r="A193" s="135"/>
      <c r="B193" s="129"/>
      <c r="C193" s="136"/>
      <c r="D193" s="131"/>
      <c r="E193" s="126"/>
      <c r="F193" s="132"/>
      <c r="G193" s="133"/>
      <c r="H193" s="137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e">
        <f t="shared" si="13"/>
        <v>#N/A</v>
      </c>
    </row>
    <row r="194" spans="1:16" ht="45" customHeight="1">
      <c r="A194" s="135"/>
      <c r="B194" s="129"/>
      <c r="C194" s="136"/>
      <c r="D194" s="131"/>
      <c r="E194" s="126"/>
      <c r="F194" s="132"/>
      <c r="G194" s="133"/>
      <c r="H194" s="137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e">
        <f t="shared" si="13"/>
        <v>#N/A</v>
      </c>
    </row>
    <row r="195" spans="1:16" ht="45" customHeight="1">
      <c r="A195" s="135"/>
      <c r="B195" s="129"/>
      <c r="C195" s="136"/>
      <c r="D195" s="131"/>
      <c r="E195" s="126"/>
      <c r="F195" s="132"/>
      <c r="G195" s="133"/>
      <c r="H195" s="137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e">
        <f t="shared" si="13"/>
        <v>#N/A</v>
      </c>
    </row>
    <row r="196" spans="1:16" ht="45" customHeight="1">
      <c r="A196" s="135"/>
      <c r="B196" s="129"/>
      <c r="C196" s="136"/>
      <c r="D196" s="131"/>
      <c r="E196" s="126"/>
      <c r="F196" s="132"/>
      <c r="G196" s="133"/>
      <c r="H196" s="137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e">
        <f t="shared" ref="N196:N201" si="18">AND($M$1="Flat Rate",M196="Staff_Costs")</f>
        <v>#N/A</v>
      </c>
    </row>
    <row r="197" spans="1:16" ht="45" customHeight="1">
      <c r="A197" s="135"/>
      <c r="B197" s="129"/>
      <c r="C197" s="136"/>
      <c r="D197" s="131"/>
      <c r="E197" s="126"/>
      <c r="F197" s="132"/>
      <c r="G197" s="133"/>
      <c r="H197" s="137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e">
        <f t="shared" si="18"/>
        <v>#N/A</v>
      </c>
    </row>
    <row r="198" spans="1:16" ht="47.25" customHeight="1">
      <c r="A198" s="135"/>
      <c r="B198" s="129"/>
      <c r="C198" s="136"/>
      <c r="D198" s="131"/>
      <c r="E198" s="126"/>
      <c r="F198" s="132"/>
      <c r="G198" s="133"/>
      <c r="H198" s="137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e">
        <f t="shared" si="18"/>
        <v>#N/A</v>
      </c>
    </row>
    <row r="199" spans="1:16" ht="47.25" customHeight="1">
      <c r="A199" s="135"/>
      <c r="B199" s="129"/>
      <c r="C199" s="136"/>
      <c r="D199" s="131"/>
      <c r="E199" s="126"/>
      <c r="F199" s="132"/>
      <c r="G199" s="133"/>
      <c r="H199" s="137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e">
        <f t="shared" si="18"/>
        <v>#N/A</v>
      </c>
    </row>
    <row r="200" spans="1:16" ht="47.25" customHeight="1">
      <c r="A200" s="135"/>
      <c r="B200" s="129"/>
      <c r="C200" s="136"/>
      <c r="D200" s="131"/>
      <c r="E200" s="126"/>
      <c r="F200" s="132"/>
      <c r="G200" s="133"/>
      <c r="H200" s="137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e">
        <f t="shared" si="18"/>
        <v>#N/A</v>
      </c>
    </row>
    <row r="201" spans="1:16" ht="47.25" customHeight="1">
      <c r="A201" s="135"/>
      <c r="B201" s="129"/>
      <c r="C201" s="136"/>
      <c r="D201" s="131"/>
      <c r="E201" s="126"/>
      <c r="F201" s="132"/>
      <c r="G201" s="133"/>
      <c r="H201" s="137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e">
        <f t="shared" si="18"/>
        <v>#N/A</v>
      </c>
    </row>
    <row r="202" spans="1:16" ht="18.75">
      <c r="L202" t="s">
        <v>524</v>
      </c>
      <c r="M202" s="66" t="str">
        <f>IF(I1=0,"-",IF(M203=0,"No Staff Costs",IF(P204=TRUE,"ERROR",IF(N204=TRUE,"Flat Rate", IF(N204=FALSE,"Real Costs", )))))</f>
        <v>-</v>
      </c>
      <c r="N202" t="s">
        <v>521</v>
      </c>
      <c r="O202" t="s">
        <v>522</v>
      </c>
      <c r="P202" t="s">
        <v>523</v>
      </c>
    </row>
    <row r="203" spans="1:16">
      <c r="L203" t="s">
        <v>526</v>
      </c>
      <c r="M203">
        <f>COUNTIF(L3:L201,"Staff*")</f>
        <v>0</v>
      </c>
    </row>
    <row r="204" spans="1:16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>
      <c r="L205" t="s">
        <v>518</v>
      </c>
      <c r="M205">
        <f>COUNTIF(L3:L201,"Staff Costs-Real*")</f>
        <v>0</v>
      </c>
    </row>
    <row r="206" spans="1:16" ht="18.75">
      <c r="L206" t="s">
        <v>525</v>
      </c>
      <c r="M206" s="66" t="str">
        <f>IF(I1=0,"-",IF(M207=0,"No O&amp;A Costs",IF(P208=TRUE,"ERROR",IF(N208=TRUE,"Flat Rate", IF(N208=FALSE,"Real Costs", )))))</f>
        <v>-</v>
      </c>
    </row>
    <row r="207" spans="1:16">
      <c r="L207" t="s">
        <v>527</v>
      </c>
      <c r="M207">
        <f>COUNTIF(L3:L201,"Office*")</f>
        <v>0</v>
      </c>
    </row>
    <row r="208" spans="1:16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>
      <c r="L209" t="s">
        <v>520</v>
      </c>
      <c r="M209">
        <f>COUNTIF(L3:L201,"Office and Administration-Real*")</f>
        <v>0</v>
      </c>
    </row>
  </sheetData>
  <sheetProtection password="C613" sheet="1" objects="1" scenarios="1" autoFilter="0"/>
  <autoFilter ref="A2:I2"/>
  <dataConsolidate/>
  <mergeCells count="1">
    <mergeCell ref="G1:H1"/>
  </mergeCells>
  <conditionalFormatting sqref="E1:F1">
    <cfRule type="cellIs" dxfId="35" priority="12" stopIfTrue="1" operator="equal">
      <formula>0</formula>
    </cfRule>
  </conditionalFormatting>
  <conditionalFormatting sqref="I3:I201">
    <cfRule type="expression" dxfId="34" priority="11" stopIfTrue="1">
      <formula>AND(C3="",NOT(H3=""))</formula>
    </cfRule>
  </conditionalFormatting>
  <conditionalFormatting sqref="I3:I201">
    <cfRule type="expression" dxfId="33" priority="10" stopIfTrue="1">
      <formula>AND(B3="",NOT(H3=""))</formula>
    </cfRule>
  </conditionalFormatting>
  <conditionalFormatting sqref="F3">
    <cfRule type="expression" dxfId="32" priority="9" stopIfTrue="1">
      <formula>D3="Flat Rate"</formula>
    </cfRule>
  </conditionalFormatting>
  <conditionalFormatting sqref="F4:F201">
    <cfRule type="expression" dxfId="31" priority="8" stopIfTrue="1">
      <formula>D4="Flat Rate"</formula>
    </cfRule>
  </conditionalFormatting>
  <conditionalFormatting sqref="G3:G201">
    <cfRule type="expression" dxfId="30" priority="1" stopIfTrue="1">
      <formula>D3="Flat Rate"</formula>
    </cfRule>
    <cfRule type="expression" dxfId="29" priority="2" stopIfTrue="1">
      <formula>C3="Staff Costs"</formula>
    </cfRule>
    <cfRule type="expression" dxfId="28" priority="3" stopIfTrue="1">
      <formula>C3="Travel and Accommodation"</formula>
    </cfRule>
  </conditionalFormatting>
  <dataValidations count="5">
    <dataValidation type="list" allowBlank="1" showInputMessage="1" showErrorMessage="1" sqref="A3:A201">
      <formula1>WPs</formula1>
    </dataValidation>
    <dataValidation type="list" allowBlank="1" showInputMessage="1" showErrorMessage="1" sqref="C3:C201">
      <formula1>Budgetline</formula1>
    </dataValidation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sqref="B3:B201">
      <formula1>IF(A3="WP1", P9WP1, IF(A3="WP2",P9WP2,IF(A3="WP3",P9WP3,IF(A3="WP4",P9WP4,IF(A3="WP5",P9WP5,IF(A3="WP6",P9WP6,0))))))</formula1>
    </dataValidation>
    <dataValidation type="list" allowBlank="1" showInputMessage="1" showErrorMessage="1" errorTitle="Change Budget line orType" sqref="D3:D201">
      <formula1>IF(N3=TRUE,Flat,INDIRECT(M3))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4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P209"/>
  <sheetViews>
    <sheetView zoomScale="55" zoomScaleNormal="55" zoomScaleSheetLayoutView="70" workbookViewId="0">
      <selection activeCell="G62" sqref="G62"/>
    </sheetView>
  </sheetViews>
  <sheetFormatPr defaultRowHeight="1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0" width="11.85546875" hidden="1" customWidth="1"/>
    <col min="11" max="12" width="0" hidden="1" customWidth="1"/>
    <col min="13" max="13" width="15.140625" hidden="1" customWidth="1"/>
    <col min="14" max="16" width="0" hidden="1" customWidth="1"/>
  </cols>
  <sheetData>
    <row r="1" spans="1:14" ht="15.75">
      <c r="A1" s="36"/>
      <c r="B1" s="36"/>
      <c r="C1" s="36"/>
      <c r="D1" s="55" t="s">
        <v>15</v>
      </c>
      <c r="E1" s="56">
        <f>'Cover page'!C31</f>
        <v>0</v>
      </c>
      <c r="F1" s="56">
        <f>'Cover page'!G31</f>
        <v>0</v>
      </c>
      <c r="G1" s="195" t="s">
        <v>412</v>
      </c>
      <c r="H1" s="196"/>
      <c r="I1" s="52">
        <f>SUMIF(B3:B201,"D*",I3:I201)</f>
        <v>0</v>
      </c>
      <c r="M1">
        <f>'Cover page'!G33</f>
        <v>0</v>
      </c>
    </row>
    <row r="2" spans="1:14" ht="32.25" customHeight="1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L2" s="65" t="s">
        <v>516</v>
      </c>
      <c r="M2" s="65" t="s">
        <v>578</v>
      </c>
      <c r="N2" s="65" t="s">
        <v>580</v>
      </c>
    </row>
    <row r="3" spans="1:14" ht="45" customHeight="1">
      <c r="A3" s="129"/>
      <c r="B3" s="129"/>
      <c r="C3" s="130"/>
      <c r="D3" s="131"/>
      <c r="E3" s="124"/>
      <c r="F3" s="132"/>
      <c r="G3" s="133"/>
      <c r="H3" s="134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e">
        <f>AND($M$1="Flat Rate",M3="Staff_Costs")</f>
        <v>#N/A</v>
      </c>
    </row>
    <row r="4" spans="1:14" ht="45" customHeight="1">
      <c r="A4" s="135"/>
      <c r="B4" s="129"/>
      <c r="C4" s="136"/>
      <c r="D4" s="131"/>
      <c r="E4" s="124"/>
      <c r="F4" s="132"/>
      <c r="G4" s="133"/>
      <c r="H4" s="137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e">
        <f t="shared" ref="N4:N67" si="3">AND($M$1="Flat Rate",M4="Staff_Costs")</f>
        <v>#N/A</v>
      </c>
    </row>
    <row r="5" spans="1:14" ht="45" customHeight="1">
      <c r="A5" s="135"/>
      <c r="B5" s="129"/>
      <c r="C5" s="136"/>
      <c r="D5" s="131"/>
      <c r="E5" s="124"/>
      <c r="F5" s="132"/>
      <c r="G5" s="133"/>
      <c r="H5" s="137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e">
        <f t="shared" si="3"/>
        <v>#N/A</v>
      </c>
    </row>
    <row r="6" spans="1:14" ht="45" customHeight="1">
      <c r="A6" s="135"/>
      <c r="B6" s="129"/>
      <c r="C6" s="136"/>
      <c r="D6" s="131"/>
      <c r="E6" s="124"/>
      <c r="F6" s="132"/>
      <c r="G6" s="133"/>
      <c r="H6" s="137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e">
        <f t="shared" si="3"/>
        <v>#N/A</v>
      </c>
    </row>
    <row r="7" spans="1:14" ht="45" customHeight="1">
      <c r="A7" s="135"/>
      <c r="B7" s="129"/>
      <c r="C7" s="136"/>
      <c r="D7" s="131"/>
      <c r="E7" s="124"/>
      <c r="F7" s="132"/>
      <c r="G7" s="133"/>
      <c r="H7" s="137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e">
        <f t="shared" si="3"/>
        <v>#N/A</v>
      </c>
    </row>
    <row r="8" spans="1:14" ht="45" customHeight="1">
      <c r="A8" s="135"/>
      <c r="B8" s="129"/>
      <c r="C8" s="136"/>
      <c r="D8" s="131"/>
      <c r="E8" s="124"/>
      <c r="F8" s="132"/>
      <c r="G8" s="133"/>
      <c r="H8" s="137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e">
        <f t="shared" si="3"/>
        <v>#N/A</v>
      </c>
    </row>
    <row r="9" spans="1:14" ht="45" customHeight="1">
      <c r="A9" s="135"/>
      <c r="B9" s="129"/>
      <c r="C9" s="136"/>
      <c r="D9" s="131"/>
      <c r="E9" s="124"/>
      <c r="F9" s="132"/>
      <c r="G9" s="133"/>
      <c r="H9" s="137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e">
        <f t="shared" si="3"/>
        <v>#N/A</v>
      </c>
    </row>
    <row r="10" spans="1:14" ht="45" customHeight="1">
      <c r="A10" s="135"/>
      <c r="B10" s="129"/>
      <c r="C10" s="136"/>
      <c r="D10" s="131"/>
      <c r="E10" s="124"/>
      <c r="F10" s="132"/>
      <c r="G10" s="133"/>
      <c r="H10" s="137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e">
        <f t="shared" si="3"/>
        <v>#N/A</v>
      </c>
    </row>
    <row r="11" spans="1:14" ht="45" customHeight="1">
      <c r="A11" s="135"/>
      <c r="B11" s="129"/>
      <c r="C11" s="136"/>
      <c r="D11" s="131"/>
      <c r="E11" s="124"/>
      <c r="F11" s="132"/>
      <c r="G11" s="133"/>
      <c r="H11" s="137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e">
        <f t="shared" si="3"/>
        <v>#N/A</v>
      </c>
    </row>
    <row r="12" spans="1:14" ht="45" customHeight="1">
      <c r="A12" s="135"/>
      <c r="B12" s="129"/>
      <c r="C12" s="136"/>
      <c r="D12" s="131"/>
      <c r="E12" s="124"/>
      <c r="F12" s="132"/>
      <c r="G12" s="133"/>
      <c r="H12" s="137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e">
        <f t="shared" si="3"/>
        <v>#N/A</v>
      </c>
    </row>
    <row r="13" spans="1:14" ht="45" customHeight="1">
      <c r="A13" s="135"/>
      <c r="B13" s="129"/>
      <c r="C13" s="136"/>
      <c r="D13" s="131"/>
      <c r="E13" s="124"/>
      <c r="F13" s="132"/>
      <c r="G13" s="133"/>
      <c r="H13" s="137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e">
        <f t="shared" si="3"/>
        <v>#N/A</v>
      </c>
    </row>
    <row r="14" spans="1:14" ht="45" customHeight="1">
      <c r="A14" s="135"/>
      <c r="B14" s="129"/>
      <c r="C14" s="136"/>
      <c r="D14" s="131"/>
      <c r="E14" s="124"/>
      <c r="F14" s="132"/>
      <c r="G14" s="133"/>
      <c r="H14" s="137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e">
        <f t="shared" si="3"/>
        <v>#N/A</v>
      </c>
    </row>
    <row r="15" spans="1:14" ht="45" customHeight="1">
      <c r="A15" s="135"/>
      <c r="B15" s="129"/>
      <c r="C15" s="136"/>
      <c r="D15" s="131"/>
      <c r="E15" s="124"/>
      <c r="F15" s="132"/>
      <c r="G15" s="133"/>
      <c r="H15" s="137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e">
        <f t="shared" si="3"/>
        <v>#N/A</v>
      </c>
    </row>
    <row r="16" spans="1:14" ht="45" customHeight="1">
      <c r="A16" s="135"/>
      <c r="B16" s="129"/>
      <c r="C16" s="136"/>
      <c r="D16" s="131"/>
      <c r="E16" s="124"/>
      <c r="F16" s="132"/>
      <c r="G16" s="133"/>
      <c r="H16" s="137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e">
        <f t="shared" si="3"/>
        <v>#N/A</v>
      </c>
    </row>
    <row r="17" spans="1:14" ht="45" customHeight="1">
      <c r="A17" s="135"/>
      <c r="B17" s="129"/>
      <c r="C17" s="136"/>
      <c r="D17" s="131"/>
      <c r="E17" s="124"/>
      <c r="F17" s="132"/>
      <c r="G17" s="133"/>
      <c r="H17" s="137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e">
        <f t="shared" si="3"/>
        <v>#N/A</v>
      </c>
    </row>
    <row r="18" spans="1:14" ht="45" customHeight="1">
      <c r="A18" s="138"/>
      <c r="B18" s="129"/>
      <c r="C18" s="139"/>
      <c r="D18" s="131"/>
      <c r="E18" s="124"/>
      <c r="F18" s="132"/>
      <c r="G18" s="133"/>
      <c r="H18" s="140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e">
        <f t="shared" si="3"/>
        <v>#N/A</v>
      </c>
    </row>
    <row r="19" spans="1:14" ht="45" customHeight="1">
      <c r="A19" s="135"/>
      <c r="B19" s="129"/>
      <c r="C19" s="136"/>
      <c r="D19" s="131"/>
      <c r="E19" s="124"/>
      <c r="F19" s="132"/>
      <c r="G19" s="133"/>
      <c r="H19" s="137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e">
        <f t="shared" si="3"/>
        <v>#N/A</v>
      </c>
    </row>
    <row r="20" spans="1:14" ht="45" customHeight="1">
      <c r="A20" s="135"/>
      <c r="B20" s="129"/>
      <c r="C20" s="136"/>
      <c r="D20" s="131"/>
      <c r="E20" s="124"/>
      <c r="F20" s="132"/>
      <c r="G20" s="133"/>
      <c r="H20" s="137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e">
        <f t="shared" si="3"/>
        <v>#N/A</v>
      </c>
    </row>
    <row r="21" spans="1:14" ht="45" customHeight="1">
      <c r="A21" s="135"/>
      <c r="B21" s="129"/>
      <c r="C21" s="136"/>
      <c r="D21" s="131"/>
      <c r="E21" s="124"/>
      <c r="F21" s="132"/>
      <c r="G21" s="133"/>
      <c r="H21" s="137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e">
        <f t="shared" si="3"/>
        <v>#N/A</v>
      </c>
    </row>
    <row r="22" spans="1:14" ht="45" customHeight="1">
      <c r="A22" s="135"/>
      <c r="B22" s="129"/>
      <c r="C22" s="136"/>
      <c r="D22" s="131"/>
      <c r="E22" s="124"/>
      <c r="F22" s="132"/>
      <c r="G22" s="133"/>
      <c r="H22" s="137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e">
        <f t="shared" si="3"/>
        <v>#N/A</v>
      </c>
    </row>
    <row r="23" spans="1:14" ht="45" customHeight="1">
      <c r="A23" s="135"/>
      <c r="B23" s="129"/>
      <c r="C23" s="136"/>
      <c r="D23" s="131"/>
      <c r="E23" s="124"/>
      <c r="F23" s="132"/>
      <c r="G23" s="133"/>
      <c r="H23" s="137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e">
        <f t="shared" si="3"/>
        <v>#N/A</v>
      </c>
    </row>
    <row r="24" spans="1:14" ht="45" customHeight="1">
      <c r="A24" s="135"/>
      <c r="B24" s="129"/>
      <c r="C24" s="136"/>
      <c r="D24" s="131"/>
      <c r="E24" s="124"/>
      <c r="F24" s="132"/>
      <c r="G24" s="133"/>
      <c r="H24" s="137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e">
        <f t="shared" si="3"/>
        <v>#N/A</v>
      </c>
    </row>
    <row r="25" spans="1:14" ht="45" customHeight="1">
      <c r="A25" s="135"/>
      <c r="B25" s="129"/>
      <c r="C25" s="136"/>
      <c r="D25" s="131"/>
      <c r="E25" s="124"/>
      <c r="F25" s="132"/>
      <c r="G25" s="133"/>
      <c r="H25" s="137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e">
        <f t="shared" si="3"/>
        <v>#N/A</v>
      </c>
    </row>
    <row r="26" spans="1:14" ht="45" customHeight="1">
      <c r="A26" s="135"/>
      <c r="B26" s="129"/>
      <c r="C26" s="136"/>
      <c r="D26" s="131"/>
      <c r="E26" s="124"/>
      <c r="F26" s="132"/>
      <c r="G26" s="133"/>
      <c r="H26" s="137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e">
        <f t="shared" si="3"/>
        <v>#N/A</v>
      </c>
    </row>
    <row r="27" spans="1:14" ht="45" customHeight="1">
      <c r="A27" s="135"/>
      <c r="B27" s="129"/>
      <c r="C27" s="136"/>
      <c r="D27" s="131"/>
      <c r="E27" s="124"/>
      <c r="F27" s="132"/>
      <c r="G27" s="133"/>
      <c r="H27" s="137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e">
        <f t="shared" si="3"/>
        <v>#N/A</v>
      </c>
    </row>
    <row r="28" spans="1:14" ht="45" customHeight="1">
      <c r="A28" s="135"/>
      <c r="B28" s="129"/>
      <c r="C28" s="136"/>
      <c r="D28" s="131"/>
      <c r="E28" s="124"/>
      <c r="F28" s="132"/>
      <c r="G28" s="133"/>
      <c r="H28" s="137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e">
        <f t="shared" si="3"/>
        <v>#N/A</v>
      </c>
    </row>
    <row r="29" spans="1:14" ht="45" customHeight="1">
      <c r="A29" s="135"/>
      <c r="B29" s="129"/>
      <c r="C29" s="136"/>
      <c r="D29" s="131"/>
      <c r="E29" s="124"/>
      <c r="F29" s="132"/>
      <c r="G29" s="133"/>
      <c r="H29" s="137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e">
        <f t="shared" si="3"/>
        <v>#N/A</v>
      </c>
    </row>
    <row r="30" spans="1:14" ht="45" customHeight="1">
      <c r="A30" s="135"/>
      <c r="B30" s="129"/>
      <c r="C30" s="136"/>
      <c r="D30" s="131"/>
      <c r="E30" s="124"/>
      <c r="F30" s="132"/>
      <c r="G30" s="133"/>
      <c r="H30" s="137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e">
        <f t="shared" si="3"/>
        <v>#N/A</v>
      </c>
    </row>
    <row r="31" spans="1:14" ht="45" customHeight="1">
      <c r="A31" s="135"/>
      <c r="B31" s="129"/>
      <c r="C31" s="136"/>
      <c r="D31" s="131"/>
      <c r="E31" s="124"/>
      <c r="F31" s="132"/>
      <c r="G31" s="133"/>
      <c r="H31" s="137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e">
        <f t="shared" si="3"/>
        <v>#N/A</v>
      </c>
    </row>
    <row r="32" spans="1:14" ht="45" customHeight="1">
      <c r="A32" s="135"/>
      <c r="B32" s="129"/>
      <c r="C32" s="136"/>
      <c r="D32" s="131"/>
      <c r="E32" s="124"/>
      <c r="F32" s="132"/>
      <c r="G32" s="133"/>
      <c r="H32" s="137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e">
        <f t="shared" si="3"/>
        <v>#N/A</v>
      </c>
    </row>
    <row r="33" spans="1:14" ht="45" customHeight="1">
      <c r="A33" s="135"/>
      <c r="B33" s="129"/>
      <c r="C33" s="136"/>
      <c r="D33" s="131"/>
      <c r="E33" s="124"/>
      <c r="F33" s="132"/>
      <c r="G33" s="133"/>
      <c r="H33" s="137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e">
        <f t="shared" si="3"/>
        <v>#N/A</v>
      </c>
    </row>
    <row r="34" spans="1:14" ht="45" customHeight="1">
      <c r="A34" s="135"/>
      <c r="B34" s="129"/>
      <c r="C34" s="136"/>
      <c r="D34" s="131"/>
      <c r="E34" s="126"/>
      <c r="F34" s="132"/>
      <c r="G34" s="133"/>
      <c r="H34" s="137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e">
        <f t="shared" si="3"/>
        <v>#N/A</v>
      </c>
    </row>
    <row r="35" spans="1:14" ht="45" customHeight="1">
      <c r="A35" s="135"/>
      <c r="B35" s="129"/>
      <c r="C35" s="136"/>
      <c r="D35" s="131"/>
      <c r="E35" s="126"/>
      <c r="F35" s="132"/>
      <c r="G35" s="133"/>
      <c r="H35" s="137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e">
        <f t="shared" si="3"/>
        <v>#N/A</v>
      </c>
    </row>
    <row r="36" spans="1:14" ht="45" customHeight="1">
      <c r="A36" s="135"/>
      <c r="B36" s="129"/>
      <c r="C36" s="136"/>
      <c r="D36" s="131"/>
      <c r="E36" s="126"/>
      <c r="F36" s="132"/>
      <c r="G36" s="133"/>
      <c r="H36" s="137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e">
        <f t="shared" si="3"/>
        <v>#N/A</v>
      </c>
    </row>
    <row r="37" spans="1:14" ht="45" customHeight="1">
      <c r="A37" s="135"/>
      <c r="B37" s="129"/>
      <c r="C37" s="136"/>
      <c r="D37" s="131"/>
      <c r="E37" s="126"/>
      <c r="F37" s="132"/>
      <c r="G37" s="133"/>
      <c r="H37" s="137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e">
        <f t="shared" si="3"/>
        <v>#N/A</v>
      </c>
    </row>
    <row r="38" spans="1:14" ht="45" customHeight="1">
      <c r="A38" s="135"/>
      <c r="B38" s="129"/>
      <c r="C38" s="136"/>
      <c r="D38" s="131"/>
      <c r="E38" s="126"/>
      <c r="F38" s="132"/>
      <c r="G38" s="133"/>
      <c r="H38" s="137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e">
        <f t="shared" si="3"/>
        <v>#N/A</v>
      </c>
    </row>
    <row r="39" spans="1:14" ht="45" customHeight="1">
      <c r="A39" s="135"/>
      <c r="B39" s="129"/>
      <c r="C39" s="136"/>
      <c r="D39" s="131"/>
      <c r="E39" s="126"/>
      <c r="F39" s="132"/>
      <c r="G39" s="133"/>
      <c r="H39" s="137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e">
        <f t="shared" si="3"/>
        <v>#N/A</v>
      </c>
    </row>
    <row r="40" spans="1:14" ht="45" customHeight="1">
      <c r="A40" s="135"/>
      <c r="B40" s="129"/>
      <c r="C40" s="136"/>
      <c r="D40" s="131"/>
      <c r="E40" s="126"/>
      <c r="F40" s="132"/>
      <c r="G40" s="133"/>
      <c r="H40" s="137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e">
        <f t="shared" si="3"/>
        <v>#N/A</v>
      </c>
    </row>
    <row r="41" spans="1:14" ht="45" customHeight="1">
      <c r="A41" s="135"/>
      <c r="B41" s="129"/>
      <c r="C41" s="136"/>
      <c r="D41" s="131"/>
      <c r="E41" s="126"/>
      <c r="F41" s="132"/>
      <c r="G41" s="133"/>
      <c r="H41" s="137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e">
        <f t="shared" si="3"/>
        <v>#N/A</v>
      </c>
    </row>
    <row r="42" spans="1:14" ht="45" customHeight="1">
      <c r="A42" s="135"/>
      <c r="B42" s="129"/>
      <c r="C42" s="136"/>
      <c r="D42" s="131"/>
      <c r="E42" s="126"/>
      <c r="F42" s="132"/>
      <c r="G42" s="133"/>
      <c r="H42" s="137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e">
        <f t="shared" si="3"/>
        <v>#N/A</v>
      </c>
    </row>
    <row r="43" spans="1:14" ht="45" customHeight="1">
      <c r="A43" s="135"/>
      <c r="B43" s="129"/>
      <c r="C43" s="136"/>
      <c r="D43" s="131"/>
      <c r="E43" s="126"/>
      <c r="F43" s="132"/>
      <c r="G43" s="133"/>
      <c r="H43" s="137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e">
        <f t="shared" si="3"/>
        <v>#N/A</v>
      </c>
    </row>
    <row r="44" spans="1:14" ht="45" customHeight="1">
      <c r="A44" s="135"/>
      <c r="B44" s="129"/>
      <c r="C44" s="136"/>
      <c r="D44" s="131"/>
      <c r="E44" s="126"/>
      <c r="F44" s="132"/>
      <c r="G44" s="133"/>
      <c r="H44" s="137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e">
        <f t="shared" si="3"/>
        <v>#N/A</v>
      </c>
    </row>
    <row r="45" spans="1:14" ht="45" customHeight="1">
      <c r="A45" s="135"/>
      <c r="B45" s="129"/>
      <c r="C45" s="136"/>
      <c r="D45" s="131"/>
      <c r="E45" s="126"/>
      <c r="F45" s="132"/>
      <c r="G45" s="133"/>
      <c r="H45" s="137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e">
        <f t="shared" si="3"/>
        <v>#N/A</v>
      </c>
    </row>
    <row r="46" spans="1:14" ht="45" customHeight="1">
      <c r="A46" s="135"/>
      <c r="B46" s="129"/>
      <c r="C46" s="136"/>
      <c r="D46" s="131"/>
      <c r="E46" s="126"/>
      <c r="F46" s="132"/>
      <c r="G46" s="133"/>
      <c r="H46" s="137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e">
        <f t="shared" si="3"/>
        <v>#N/A</v>
      </c>
    </row>
    <row r="47" spans="1:14" ht="45" customHeight="1">
      <c r="A47" s="135"/>
      <c r="B47" s="129"/>
      <c r="C47" s="136"/>
      <c r="D47" s="131"/>
      <c r="E47" s="126"/>
      <c r="F47" s="132"/>
      <c r="G47" s="133"/>
      <c r="H47" s="137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e">
        <f t="shared" si="3"/>
        <v>#N/A</v>
      </c>
    </row>
    <row r="48" spans="1:14" ht="45" customHeight="1">
      <c r="A48" s="135"/>
      <c r="B48" s="129"/>
      <c r="C48" s="136"/>
      <c r="D48" s="131"/>
      <c r="E48" s="126"/>
      <c r="F48" s="132"/>
      <c r="G48" s="133"/>
      <c r="H48" s="137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e">
        <f t="shared" si="3"/>
        <v>#N/A</v>
      </c>
    </row>
    <row r="49" spans="1:14" ht="45" customHeight="1">
      <c r="A49" s="135"/>
      <c r="B49" s="129"/>
      <c r="C49" s="136"/>
      <c r="D49" s="131"/>
      <c r="E49" s="126"/>
      <c r="F49" s="132"/>
      <c r="G49" s="133"/>
      <c r="H49" s="137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e">
        <f t="shared" si="3"/>
        <v>#N/A</v>
      </c>
    </row>
    <row r="50" spans="1:14" ht="45" customHeight="1">
      <c r="A50" s="135"/>
      <c r="B50" s="129"/>
      <c r="C50" s="136"/>
      <c r="D50" s="131"/>
      <c r="E50" s="126"/>
      <c r="F50" s="132"/>
      <c r="G50" s="133"/>
      <c r="H50" s="137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e">
        <f t="shared" si="3"/>
        <v>#N/A</v>
      </c>
    </row>
    <row r="51" spans="1:14" ht="45" customHeight="1">
      <c r="A51" s="135"/>
      <c r="B51" s="129"/>
      <c r="C51" s="136"/>
      <c r="D51" s="131"/>
      <c r="E51" s="126"/>
      <c r="F51" s="132"/>
      <c r="G51" s="133"/>
      <c r="H51" s="137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e">
        <f t="shared" si="3"/>
        <v>#N/A</v>
      </c>
    </row>
    <row r="52" spans="1:14" ht="45" customHeight="1">
      <c r="A52" s="135"/>
      <c r="B52" s="129"/>
      <c r="C52" s="136"/>
      <c r="D52" s="131"/>
      <c r="E52" s="126"/>
      <c r="F52" s="132"/>
      <c r="G52" s="133"/>
      <c r="H52" s="137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e">
        <f t="shared" si="3"/>
        <v>#N/A</v>
      </c>
    </row>
    <row r="53" spans="1:14" ht="45" customHeight="1">
      <c r="A53" s="135"/>
      <c r="B53" s="129"/>
      <c r="C53" s="136"/>
      <c r="D53" s="131"/>
      <c r="E53" s="126"/>
      <c r="F53" s="132"/>
      <c r="G53" s="133"/>
      <c r="H53" s="137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e">
        <f t="shared" si="3"/>
        <v>#N/A</v>
      </c>
    </row>
    <row r="54" spans="1:14" ht="45" customHeight="1">
      <c r="A54" s="135"/>
      <c r="B54" s="129"/>
      <c r="C54" s="136"/>
      <c r="D54" s="131"/>
      <c r="E54" s="126"/>
      <c r="F54" s="132"/>
      <c r="G54" s="133"/>
      <c r="H54" s="137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e">
        <f t="shared" si="3"/>
        <v>#N/A</v>
      </c>
    </row>
    <row r="55" spans="1:14" ht="45" customHeight="1">
      <c r="A55" s="135"/>
      <c r="B55" s="129"/>
      <c r="C55" s="136"/>
      <c r="D55" s="131"/>
      <c r="E55" s="126"/>
      <c r="F55" s="132"/>
      <c r="G55" s="133"/>
      <c r="H55" s="137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e">
        <f t="shared" si="3"/>
        <v>#N/A</v>
      </c>
    </row>
    <row r="56" spans="1:14" ht="45" customHeight="1">
      <c r="A56" s="135"/>
      <c r="B56" s="129"/>
      <c r="C56" s="136"/>
      <c r="D56" s="131"/>
      <c r="E56" s="126"/>
      <c r="F56" s="132"/>
      <c r="G56" s="133"/>
      <c r="H56" s="137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e">
        <f t="shared" si="3"/>
        <v>#N/A</v>
      </c>
    </row>
    <row r="57" spans="1:14" ht="45" customHeight="1">
      <c r="A57" s="135"/>
      <c r="B57" s="129"/>
      <c r="C57" s="136"/>
      <c r="D57" s="131"/>
      <c r="E57" s="126"/>
      <c r="F57" s="132"/>
      <c r="G57" s="133"/>
      <c r="H57" s="137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e">
        <f t="shared" si="3"/>
        <v>#N/A</v>
      </c>
    </row>
    <row r="58" spans="1:14" ht="45" customHeight="1">
      <c r="A58" s="135"/>
      <c r="B58" s="129"/>
      <c r="C58" s="136"/>
      <c r="D58" s="131"/>
      <c r="E58" s="126"/>
      <c r="F58" s="132"/>
      <c r="G58" s="133"/>
      <c r="H58" s="137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e">
        <f t="shared" si="3"/>
        <v>#N/A</v>
      </c>
    </row>
    <row r="59" spans="1:14" ht="45" customHeight="1">
      <c r="A59" s="135"/>
      <c r="B59" s="129"/>
      <c r="C59" s="136"/>
      <c r="D59" s="131"/>
      <c r="E59" s="126"/>
      <c r="F59" s="132"/>
      <c r="G59" s="133"/>
      <c r="H59" s="137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e">
        <f t="shared" si="3"/>
        <v>#N/A</v>
      </c>
    </row>
    <row r="60" spans="1:14" ht="45" customHeight="1">
      <c r="A60" s="135"/>
      <c r="B60" s="129"/>
      <c r="C60" s="136"/>
      <c r="D60" s="131"/>
      <c r="E60" s="126"/>
      <c r="F60" s="132"/>
      <c r="G60" s="133"/>
      <c r="H60" s="137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e">
        <f t="shared" si="3"/>
        <v>#N/A</v>
      </c>
    </row>
    <row r="61" spans="1:14" ht="45" customHeight="1">
      <c r="A61" s="135"/>
      <c r="B61" s="129"/>
      <c r="C61" s="136"/>
      <c r="D61" s="131"/>
      <c r="E61" s="126"/>
      <c r="F61" s="132"/>
      <c r="G61" s="133"/>
      <c r="H61" s="137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e">
        <f t="shared" si="3"/>
        <v>#N/A</v>
      </c>
    </row>
    <row r="62" spans="1:14" ht="45" customHeight="1">
      <c r="A62" s="135"/>
      <c r="B62" s="129"/>
      <c r="C62" s="136"/>
      <c r="D62" s="131"/>
      <c r="E62" s="126"/>
      <c r="F62" s="132"/>
      <c r="G62" s="133"/>
      <c r="H62" s="137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e">
        <f t="shared" si="3"/>
        <v>#N/A</v>
      </c>
    </row>
    <row r="63" spans="1:14" ht="45" customHeight="1">
      <c r="A63" s="135"/>
      <c r="B63" s="129"/>
      <c r="C63" s="136"/>
      <c r="D63" s="131"/>
      <c r="E63" s="126"/>
      <c r="F63" s="132"/>
      <c r="G63" s="133"/>
      <c r="H63" s="137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e">
        <f t="shared" si="3"/>
        <v>#N/A</v>
      </c>
    </row>
    <row r="64" spans="1:14" ht="45" customHeight="1">
      <c r="A64" s="135"/>
      <c r="B64" s="129"/>
      <c r="C64" s="136"/>
      <c r="D64" s="131"/>
      <c r="E64" s="126"/>
      <c r="F64" s="132"/>
      <c r="G64" s="133"/>
      <c r="H64" s="137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e">
        <f t="shared" si="3"/>
        <v>#N/A</v>
      </c>
    </row>
    <row r="65" spans="1:14" ht="45" customHeight="1">
      <c r="A65" s="135"/>
      <c r="B65" s="129"/>
      <c r="C65" s="136"/>
      <c r="D65" s="131"/>
      <c r="E65" s="126"/>
      <c r="F65" s="132"/>
      <c r="G65" s="133"/>
      <c r="H65" s="137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e">
        <f t="shared" si="3"/>
        <v>#N/A</v>
      </c>
    </row>
    <row r="66" spans="1:14" ht="45" customHeight="1">
      <c r="A66" s="135"/>
      <c r="B66" s="129"/>
      <c r="C66" s="136"/>
      <c r="D66" s="131"/>
      <c r="E66" s="126"/>
      <c r="F66" s="132"/>
      <c r="G66" s="133"/>
      <c r="H66" s="137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e">
        <f t="shared" si="3"/>
        <v>#N/A</v>
      </c>
    </row>
    <row r="67" spans="1:14" ht="45" customHeight="1">
      <c r="A67" s="135"/>
      <c r="B67" s="129"/>
      <c r="C67" s="136"/>
      <c r="D67" s="131"/>
      <c r="E67" s="126"/>
      <c r="F67" s="132"/>
      <c r="G67" s="133"/>
      <c r="H67" s="137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e">
        <f t="shared" si="3"/>
        <v>#N/A</v>
      </c>
    </row>
    <row r="68" spans="1:14" ht="45" customHeight="1">
      <c r="A68" s="135"/>
      <c r="B68" s="129"/>
      <c r="C68" s="136"/>
      <c r="D68" s="131"/>
      <c r="E68" s="126"/>
      <c r="F68" s="132"/>
      <c r="G68" s="133"/>
      <c r="H68" s="137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e">
        <f t="shared" ref="N68:N131" si="8">AND($M$1="Flat Rate",M68="Staff_Costs")</f>
        <v>#N/A</v>
      </c>
    </row>
    <row r="69" spans="1:14" ht="45" customHeight="1">
      <c r="A69" s="135"/>
      <c r="B69" s="129"/>
      <c r="C69" s="136"/>
      <c r="D69" s="131"/>
      <c r="E69" s="126"/>
      <c r="F69" s="132"/>
      <c r="G69" s="133"/>
      <c r="H69" s="137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e">
        <f t="shared" si="8"/>
        <v>#N/A</v>
      </c>
    </row>
    <row r="70" spans="1:14" ht="45" customHeight="1">
      <c r="A70" s="135"/>
      <c r="B70" s="129"/>
      <c r="C70" s="136"/>
      <c r="D70" s="131"/>
      <c r="E70" s="126"/>
      <c r="F70" s="132"/>
      <c r="G70" s="133"/>
      <c r="H70" s="137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e">
        <f t="shared" si="8"/>
        <v>#N/A</v>
      </c>
    </row>
    <row r="71" spans="1:14" ht="45" customHeight="1">
      <c r="A71" s="135"/>
      <c r="B71" s="129"/>
      <c r="C71" s="136"/>
      <c r="D71" s="131"/>
      <c r="E71" s="126"/>
      <c r="F71" s="132"/>
      <c r="G71" s="133"/>
      <c r="H71" s="137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e">
        <f t="shared" si="8"/>
        <v>#N/A</v>
      </c>
    </row>
    <row r="72" spans="1:14" ht="45" customHeight="1">
      <c r="A72" s="135"/>
      <c r="B72" s="129"/>
      <c r="C72" s="136"/>
      <c r="D72" s="131"/>
      <c r="E72" s="126"/>
      <c r="F72" s="132"/>
      <c r="G72" s="133"/>
      <c r="H72" s="137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e">
        <f t="shared" si="8"/>
        <v>#N/A</v>
      </c>
    </row>
    <row r="73" spans="1:14" ht="45" customHeight="1">
      <c r="A73" s="135"/>
      <c r="B73" s="129"/>
      <c r="C73" s="136"/>
      <c r="D73" s="131"/>
      <c r="E73" s="126"/>
      <c r="F73" s="132"/>
      <c r="G73" s="133"/>
      <c r="H73" s="137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e">
        <f t="shared" si="8"/>
        <v>#N/A</v>
      </c>
    </row>
    <row r="74" spans="1:14" ht="45" customHeight="1">
      <c r="A74" s="135"/>
      <c r="B74" s="129"/>
      <c r="C74" s="136"/>
      <c r="D74" s="131"/>
      <c r="E74" s="126"/>
      <c r="F74" s="132"/>
      <c r="G74" s="133"/>
      <c r="H74" s="137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e">
        <f t="shared" si="8"/>
        <v>#N/A</v>
      </c>
    </row>
    <row r="75" spans="1:14" ht="45" customHeight="1">
      <c r="A75" s="135"/>
      <c r="B75" s="129"/>
      <c r="C75" s="136"/>
      <c r="D75" s="131"/>
      <c r="E75" s="126"/>
      <c r="F75" s="132"/>
      <c r="G75" s="133"/>
      <c r="H75" s="137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e">
        <f t="shared" si="8"/>
        <v>#N/A</v>
      </c>
    </row>
    <row r="76" spans="1:14" ht="45" customHeight="1">
      <c r="A76" s="135"/>
      <c r="B76" s="129"/>
      <c r="C76" s="136"/>
      <c r="D76" s="131"/>
      <c r="E76" s="126"/>
      <c r="F76" s="132"/>
      <c r="G76" s="133"/>
      <c r="H76" s="137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e">
        <f t="shared" si="8"/>
        <v>#N/A</v>
      </c>
    </row>
    <row r="77" spans="1:14" ht="45" customHeight="1">
      <c r="A77" s="135"/>
      <c r="B77" s="129"/>
      <c r="C77" s="136"/>
      <c r="D77" s="131"/>
      <c r="E77" s="126"/>
      <c r="F77" s="132"/>
      <c r="G77" s="133"/>
      <c r="H77" s="137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e">
        <f t="shared" si="8"/>
        <v>#N/A</v>
      </c>
    </row>
    <row r="78" spans="1:14" ht="45" customHeight="1">
      <c r="A78" s="135"/>
      <c r="B78" s="129"/>
      <c r="C78" s="136"/>
      <c r="D78" s="131"/>
      <c r="E78" s="126"/>
      <c r="F78" s="132"/>
      <c r="G78" s="133"/>
      <c r="H78" s="137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e">
        <f t="shared" si="8"/>
        <v>#N/A</v>
      </c>
    </row>
    <row r="79" spans="1:14" ht="45" customHeight="1">
      <c r="A79" s="135"/>
      <c r="B79" s="129"/>
      <c r="C79" s="136"/>
      <c r="D79" s="131"/>
      <c r="E79" s="126"/>
      <c r="F79" s="132"/>
      <c r="G79" s="133"/>
      <c r="H79" s="137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e">
        <f t="shared" si="8"/>
        <v>#N/A</v>
      </c>
    </row>
    <row r="80" spans="1:14" ht="45" customHeight="1">
      <c r="A80" s="135"/>
      <c r="B80" s="129"/>
      <c r="C80" s="136"/>
      <c r="D80" s="131"/>
      <c r="E80" s="126"/>
      <c r="F80" s="132"/>
      <c r="G80" s="133"/>
      <c r="H80" s="137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e">
        <f t="shared" si="8"/>
        <v>#N/A</v>
      </c>
    </row>
    <row r="81" spans="1:14" ht="45" customHeight="1">
      <c r="A81" s="135"/>
      <c r="B81" s="129"/>
      <c r="C81" s="136"/>
      <c r="D81" s="131"/>
      <c r="E81" s="126"/>
      <c r="F81" s="132"/>
      <c r="G81" s="133"/>
      <c r="H81" s="137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e">
        <f t="shared" si="8"/>
        <v>#N/A</v>
      </c>
    </row>
    <row r="82" spans="1:14" ht="45" customHeight="1">
      <c r="A82" s="135"/>
      <c r="B82" s="129"/>
      <c r="C82" s="136"/>
      <c r="D82" s="131"/>
      <c r="E82" s="126"/>
      <c r="F82" s="132"/>
      <c r="G82" s="133"/>
      <c r="H82" s="137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e">
        <f t="shared" si="8"/>
        <v>#N/A</v>
      </c>
    </row>
    <row r="83" spans="1:14" ht="45" customHeight="1">
      <c r="A83" s="135"/>
      <c r="B83" s="129"/>
      <c r="C83" s="136"/>
      <c r="D83" s="131"/>
      <c r="E83" s="126"/>
      <c r="F83" s="132"/>
      <c r="G83" s="133"/>
      <c r="H83" s="137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e">
        <f t="shared" si="8"/>
        <v>#N/A</v>
      </c>
    </row>
    <row r="84" spans="1:14" ht="45" customHeight="1">
      <c r="A84" s="135"/>
      <c r="B84" s="129"/>
      <c r="C84" s="136"/>
      <c r="D84" s="131"/>
      <c r="E84" s="126"/>
      <c r="F84" s="132"/>
      <c r="G84" s="133"/>
      <c r="H84" s="137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e">
        <f t="shared" si="8"/>
        <v>#N/A</v>
      </c>
    </row>
    <row r="85" spans="1:14" ht="45" customHeight="1">
      <c r="A85" s="135"/>
      <c r="B85" s="129"/>
      <c r="C85" s="136"/>
      <c r="D85" s="131"/>
      <c r="E85" s="126"/>
      <c r="F85" s="132"/>
      <c r="G85" s="133"/>
      <c r="H85" s="137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e">
        <f t="shared" si="8"/>
        <v>#N/A</v>
      </c>
    </row>
    <row r="86" spans="1:14" ht="45" customHeight="1">
      <c r="A86" s="135"/>
      <c r="B86" s="129"/>
      <c r="C86" s="136"/>
      <c r="D86" s="131"/>
      <c r="E86" s="126"/>
      <c r="F86" s="132"/>
      <c r="G86" s="133"/>
      <c r="H86" s="137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e">
        <f t="shared" si="8"/>
        <v>#N/A</v>
      </c>
    </row>
    <row r="87" spans="1:14" ht="45" customHeight="1">
      <c r="A87" s="135"/>
      <c r="B87" s="129"/>
      <c r="C87" s="136"/>
      <c r="D87" s="131"/>
      <c r="E87" s="126"/>
      <c r="F87" s="132"/>
      <c r="G87" s="133"/>
      <c r="H87" s="137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e">
        <f t="shared" si="8"/>
        <v>#N/A</v>
      </c>
    </row>
    <row r="88" spans="1:14" ht="45" customHeight="1">
      <c r="A88" s="135"/>
      <c r="B88" s="129"/>
      <c r="C88" s="136"/>
      <c r="D88" s="131"/>
      <c r="E88" s="126"/>
      <c r="F88" s="132"/>
      <c r="G88" s="133"/>
      <c r="H88" s="137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e">
        <f t="shared" si="8"/>
        <v>#N/A</v>
      </c>
    </row>
    <row r="89" spans="1:14" ht="45" customHeight="1">
      <c r="A89" s="135"/>
      <c r="B89" s="129"/>
      <c r="C89" s="136"/>
      <c r="D89" s="131"/>
      <c r="E89" s="126"/>
      <c r="F89" s="132"/>
      <c r="G89" s="133"/>
      <c r="H89" s="137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e">
        <f t="shared" si="8"/>
        <v>#N/A</v>
      </c>
    </row>
    <row r="90" spans="1:14" ht="45" customHeight="1">
      <c r="A90" s="135"/>
      <c r="B90" s="129"/>
      <c r="C90" s="136"/>
      <c r="D90" s="131"/>
      <c r="E90" s="126"/>
      <c r="F90" s="132"/>
      <c r="G90" s="133"/>
      <c r="H90" s="137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e">
        <f t="shared" si="8"/>
        <v>#N/A</v>
      </c>
    </row>
    <row r="91" spans="1:14" ht="45" customHeight="1">
      <c r="A91" s="135"/>
      <c r="B91" s="129"/>
      <c r="C91" s="136"/>
      <c r="D91" s="131"/>
      <c r="E91" s="126"/>
      <c r="F91" s="132"/>
      <c r="G91" s="133"/>
      <c r="H91" s="137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e">
        <f t="shared" si="8"/>
        <v>#N/A</v>
      </c>
    </row>
    <row r="92" spans="1:14" ht="45" customHeight="1">
      <c r="A92" s="135"/>
      <c r="B92" s="129"/>
      <c r="C92" s="136"/>
      <c r="D92" s="131"/>
      <c r="E92" s="126"/>
      <c r="F92" s="132"/>
      <c r="G92" s="133"/>
      <c r="H92" s="137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e">
        <f t="shared" si="8"/>
        <v>#N/A</v>
      </c>
    </row>
    <row r="93" spans="1:14" ht="45" customHeight="1">
      <c r="A93" s="135"/>
      <c r="B93" s="129"/>
      <c r="C93" s="136"/>
      <c r="D93" s="131"/>
      <c r="E93" s="126"/>
      <c r="F93" s="132"/>
      <c r="G93" s="133"/>
      <c r="H93" s="137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e">
        <f t="shared" si="8"/>
        <v>#N/A</v>
      </c>
    </row>
    <row r="94" spans="1:14" ht="45" customHeight="1">
      <c r="A94" s="135"/>
      <c r="B94" s="129"/>
      <c r="C94" s="136"/>
      <c r="D94" s="131"/>
      <c r="E94" s="126"/>
      <c r="F94" s="132"/>
      <c r="G94" s="133"/>
      <c r="H94" s="137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e">
        <f t="shared" si="8"/>
        <v>#N/A</v>
      </c>
    </row>
    <row r="95" spans="1:14" ht="45" customHeight="1">
      <c r="A95" s="135"/>
      <c r="B95" s="129"/>
      <c r="C95" s="136"/>
      <c r="D95" s="131"/>
      <c r="E95" s="126"/>
      <c r="F95" s="132"/>
      <c r="G95" s="133"/>
      <c r="H95" s="137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e">
        <f t="shared" si="8"/>
        <v>#N/A</v>
      </c>
    </row>
    <row r="96" spans="1:14" ht="45" customHeight="1">
      <c r="A96" s="135"/>
      <c r="B96" s="129"/>
      <c r="C96" s="136"/>
      <c r="D96" s="131"/>
      <c r="E96" s="126"/>
      <c r="F96" s="132"/>
      <c r="G96" s="133"/>
      <c r="H96" s="137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e">
        <f t="shared" si="8"/>
        <v>#N/A</v>
      </c>
    </row>
    <row r="97" spans="1:14" ht="45" customHeight="1">
      <c r="A97" s="135"/>
      <c r="B97" s="129"/>
      <c r="C97" s="136"/>
      <c r="D97" s="131"/>
      <c r="E97" s="126"/>
      <c r="F97" s="132"/>
      <c r="G97" s="133"/>
      <c r="H97" s="137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e">
        <f t="shared" si="8"/>
        <v>#N/A</v>
      </c>
    </row>
    <row r="98" spans="1:14" ht="45" customHeight="1">
      <c r="A98" s="135"/>
      <c r="B98" s="129"/>
      <c r="C98" s="136"/>
      <c r="D98" s="131"/>
      <c r="E98" s="126"/>
      <c r="F98" s="132"/>
      <c r="G98" s="133"/>
      <c r="H98" s="137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e">
        <f t="shared" si="8"/>
        <v>#N/A</v>
      </c>
    </row>
    <row r="99" spans="1:14" ht="45" customHeight="1">
      <c r="A99" s="135"/>
      <c r="B99" s="129"/>
      <c r="C99" s="136"/>
      <c r="D99" s="131"/>
      <c r="E99" s="126"/>
      <c r="F99" s="132"/>
      <c r="G99" s="133"/>
      <c r="H99" s="137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e">
        <f t="shared" si="8"/>
        <v>#N/A</v>
      </c>
    </row>
    <row r="100" spans="1:14" ht="45" customHeight="1">
      <c r="A100" s="135"/>
      <c r="B100" s="129"/>
      <c r="C100" s="136"/>
      <c r="D100" s="131"/>
      <c r="E100" s="126"/>
      <c r="F100" s="132"/>
      <c r="G100" s="133"/>
      <c r="H100" s="137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e">
        <f t="shared" si="8"/>
        <v>#N/A</v>
      </c>
    </row>
    <row r="101" spans="1:14" ht="45" customHeight="1">
      <c r="A101" s="135"/>
      <c r="B101" s="129"/>
      <c r="C101" s="136"/>
      <c r="D101" s="131"/>
      <c r="E101" s="126"/>
      <c r="F101" s="132"/>
      <c r="G101" s="133"/>
      <c r="H101" s="137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e">
        <f t="shared" si="8"/>
        <v>#N/A</v>
      </c>
    </row>
    <row r="102" spans="1:14" ht="45" customHeight="1">
      <c r="A102" s="135"/>
      <c r="B102" s="129"/>
      <c r="C102" s="136"/>
      <c r="D102" s="131"/>
      <c r="E102" s="126"/>
      <c r="F102" s="132"/>
      <c r="G102" s="133"/>
      <c r="H102" s="137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e">
        <f t="shared" si="8"/>
        <v>#N/A</v>
      </c>
    </row>
    <row r="103" spans="1:14" ht="45" customHeight="1">
      <c r="A103" s="135"/>
      <c r="B103" s="129"/>
      <c r="C103" s="136"/>
      <c r="D103" s="131"/>
      <c r="E103" s="126"/>
      <c r="F103" s="132"/>
      <c r="G103" s="133"/>
      <c r="H103" s="137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e">
        <f t="shared" si="8"/>
        <v>#N/A</v>
      </c>
    </row>
    <row r="104" spans="1:14" ht="45" customHeight="1">
      <c r="A104" s="135"/>
      <c r="B104" s="129"/>
      <c r="C104" s="136"/>
      <c r="D104" s="131"/>
      <c r="E104" s="126"/>
      <c r="F104" s="132"/>
      <c r="G104" s="133"/>
      <c r="H104" s="137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e">
        <f t="shared" si="8"/>
        <v>#N/A</v>
      </c>
    </row>
    <row r="105" spans="1:14" ht="45" customHeight="1">
      <c r="A105" s="135"/>
      <c r="B105" s="129"/>
      <c r="C105" s="136"/>
      <c r="D105" s="131"/>
      <c r="E105" s="126"/>
      <c r="F105" s="132"/>
      <c r="G105" s="133"/>
      <c r="H105" s="137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e">
        <f t="shared" si="8"/>
        <v>#N/A</v>
      </c>
    </row>
    <row r="106" spans="1:14" ht="45" customHeight="1">
      <c r="A106" s="135"/>
      <c r="B106" s="129"/>
      <c r="C106" s="136"/>
      <c r="D106" s="131"/>
      <c r="E106" s="126"/>
      <c r="F106" s="132"/>
      <c r="G106" s="133"/>
      <c r="H106" s="137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e">
        <f t="shared" si="8"/>
        <v>#N/A</v>
      </c>
    </row>
    <row r="107" spans="1:14" ht="45" customHeight="1">
      <c r="A107" s="135"/>
      <c r="B107" s="129"/>
      <c r="C107" s="136"/>
      <c r="D107" s="131"/>
      <c r="E107" s="126"/>
      <c r="F107" s="132"/>
      <c r="G107" s="133"/>
      <c r="H107" s="137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e">
        <f t="shared" si="8"/>
        <v>#N/A</v>
      </c>
    </row>
    <row r="108" spans="1:14" ht="45" customHeight="1">
      <c r="A108" s="135"/>
      <c r="B108" s="129"/>
      <c r="C108" s="136"/>
      <c r="D108" s="131"/>
      <c r="E108" s="126"/>
      <c r="F108" s="132"/>
      <c r="G108" s="133"/>
      <c r="H108" s="137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e">
        <f t="shared" si="8"/>
        <v>#N/A</v>
      </c>
    </row>
    <row r="109" spans="1:14" ht="45" customHeight="1">
      <c r="A109" s="135"/>
      <c r="B109" s="129"/>
      <c r="C109" s="136"/>
      <c r="D109" s="131"/>
      <c r="E109" s="126"/>
      <c r="F109" s="132"/>
      <c r="G109" s="133"/>
      <c r="H109" s="137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e">
        <f t="shared" si="8"/>
        <v>#N/A</v>
      </c>
    </row>
    <row r="110" spans="1:14" ht="45" customHeight="1">
      <c r="A110" s="135"/>
      <c r="B110" s="129"/>
      <c r="C110" s="136"/>
      <c r="D110" s="131"/>
      <c r="E110" s="126"/>
      <c r="F110" s="132"/>
      <c r="G110" s="133"/>
      <c r="H110" s="137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e">
        <f t="shared" si="8"/>
        <v>#N/A</v>
      </c>
    </row>
    <row r="111" spans="1:14" ht="45" customHeight="1">
      <c r="A111" s="135"/>
      <c r="B111" s="129"/>
      <c r="C111" s="136"/>
      <c r="D111" s="131"/>
      <c r="E111" s="126"/>
      <c r="F111" s="132"/>
      <c r="G111" s="133"/>
      <c r="H111" s="137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e">
        <f t="shared" si="8"/>
        <v>#N/A</v>
      </c>
    </row>
    <row r="112" spans="1:14" ht="45" customHeight="1">
      <c r="A112" s="135"/>
      <c r="B112" s="129"/>
      <c r="C112" s="136"/>
      <c r="D112" s="131"/>
      <c r="E112" s="126"/>
      <c r="F112" s="132"/>
      <c r="G112" s="133"/>
      <c r="H112" s="137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e">
        <f t="shared" si="8"/>
        <v>#N/A</v>
      </c>
    </row>
    <row r="113" spans="1:14" ht="45" customHeight="1">
      <c r="A113" s="135"/>
      <c r="B113" s="129"/>
      <c r="C113" s="136"/>
      <c r="D113" s="131"/>
      <c r="E113" s="126"/>
      <c r="F113" s="132"/>
      <c r="G113" s="133"/>
      <c r="H113" s="137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e">
        <f t="shared" si="8"/>
        <v>#N/A</v>
      </c>
    </row>
    <row r="114" spans="1:14" ht="45" customHeight="1">
      <c r="A114" s="135"/>
      <c r="B114" s="129"/>
      <c r="C114" s="136"/>
      <c r="D114" s="131"/>
      <c r="E114" s="126"/>
      <c r="F114" s="132"/>
      <c r="G114" s="133"/>
      <c r="H114" s="137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e">
        <f t="shared" si="8"/>
        <v>#N/A</v>
      </c>
    </row>
    <row r="115" spans="1:14" ht="45" customHeight="1">
      <c r="A115" s="135"/>
      <c r="B115" s="129"/>
      <c r="C115" s="136"/>
      <c r="D115" s="131"/>
      <c r="E115" s="126"/>
      <c r="F115" s="132"/>
      <c r="G115" s="133"/>
      <c r="H115" s="137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e">
        <f t="shared" si="8"/>
        <v>#N/A</v>
      </c>
    </row>
    <row r="116" spans="1:14" ht="45" customHeight="1">
      <c r="A116" s="135"/>
      <c r="B116" s="129"/>
      <c r="C116" s="136"/>
      <c r="D116" s="131"/>
      <c r="E116" s="126"/>
      <c r="F116" s="132"/>
      <c r="G116" s="133"/>
      <c r="H116" s="137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e">
        <f t="shared" si="8"/>
        <v>#N/A</v>
      </c>
    </row>
    <row r="117" spans="1:14" ht="45" customHeight="1">
      <c r="A117" s="135"/>
      <c r="B117" s="129"/>
      <c r="C117" s="136"/>
      <c r="D117" s="131"/>
      <c r="E117" s="126"/>
      <c r="F117" s="132"/>
      <c r="G117" s="133"/>
      <c r="H117" s="137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e">
        <f t="shared" si="8"/>
        <v>#N/A</v>
      </c>
    </row>
    <row r="118" spans="1:14" ht="45" customHeight="1">
      <c r="A118" s="135"/>
      <c r="B118" s="129"/>
      <c r="C118" s="136"/>
      <c r="D118" s="131"/>
      <c r="E118" s="126"/>
      <c r="F118" s="132"/>
      <c r="G118" s="133"/>
      <c r="H118" s="137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e">
        <f t="shared" si="8"/>
        <v>#N/A</v>
      </c>
    </row>
    <row r="119" spans="1:14" ht="45" customHeight="1">
      <c r="A119" s="135"/>
      <c r="B119" s="129"/>
      <c r="C119" s="136"/>
      <c r="D119" s="131"/>
      <c r="E119" s="126"/>
      <c r="F119" s="132"/>
      <c r="G119" s="133"/>
      <c r="H119" s="137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e">
        <f t="shared" si="8"/>
        <v>#N/A</v>
      </c>
    </row>
    <row r="120" spans="1:14" ht="45" customHeight="1">
      <c r="A120" s="135"/>
      <c r="B120" s="129"/>
      <c r="C120" s="136"/>
      <c r="D120" s="131"/>
      <c r="E120" s="126"/>
      <c r="F120" s="132"/>
      <c r="G120" s="133"/>
      <c r="H120" s="137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e">
        <f t="shared" si="8"/>
        <v>#N/A</v>
      </c>
    </row>
    <row r="121" spans="1:14" ht="45" customHeight="1">
      <c r="A121" s="135"/>
      <c r="B121" s="129"/>
      <c r="C121" s="136"/>
      <c r="D121" s="131"/>
      <c r="E121" s="126"/>
      <c r="F121" s="132"/>
      <c r="G121" s="133"/>
      <c r="H121" s="137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e">
        <f t="shared" si="8"/>
        <v>#N/A</v>
      </c>
    </row>
    <row r="122" spans="1:14" ht="45" customHeight="1">
      <c r="A122" s="135"/>
      <c r="B122" s="129"/>
      <c r="C122" s="136"/>
      <c r="D122" s="131"/>
      <c r="E122" s="126"/>
      <c r="F122" s="132"/>
      <c r="G122" s="133"/>
      <c r="H122" s="137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e">
        <f t="shared" si="8"/>
        <v>#N/A</v>
      </c>
    </row>
    <row r="123" spans="1:14" ht="45" customHeight="1">
      <c r="A123" s="135"/>
      <c r="B123" s="129"/>
      <c r="C123" s="136"/>
      <c r="D123" s="131"/>
      <c r="E123" s="126"/>
      <c r="F123" s="132"/>
      <c r="G123" s="133"/>
      <c r="H123" s="137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e">
        <f t="shared" si="8"/>
        <v>#N/A</v>
      </c>
    </row>
    <row r="124" spans="1:14" ht="45" customHeight="1">
      <c r="A124" s="135"/>
      <c r="B124" s="129"/>
      <c r="C124" s="136"/>
      <c r="D124" s="131"/>
      <c r="E124" s="126"/>
      <c r="F124" s="132"/>
      <c r="G124" s="133"/>
      <c r="H124" s="137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e">
        <f t="shared" si="8"/>
        <v>#N/A</v>
      </c>
    </row>
    <row r="125" spans="1:14" ht="45" customHeight="1">
      <c r="A125" s="135"/>
      <c r="B125" s="129"/>
      <c r="C125" s="136"/>
      <c r="D125" s="131"/>
      <c r="E125" s="126"/>
      <c r="F125" s="132"/>
      <c r="G125" s="133"/>
      <c r="H125" s="137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e">
        <f t="shared" si="8"/>
        <v>#N/A</v>
      </c>
    </row>
    <row r="126" spans="1:14" ht="45" customHeight="1">
      <c r="A126" s="135"/>
      <c r="B126" s="129"/>
      <c r="C126" s="136"/>
      <c r="D126" s="131"/>
      <c r="E126" s="126"/>
      <c r="F126" s="132"/>
      <c r="G126" s="133"/>
      <c r="H126" s="137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e">
        <f t="shared" si="8"/>
        <v>#N/A</v>
      </c>
    </row>
    <row r="127" spans="1:14" ht="45" customHeight="1">
      <c r="A127" s="135"/>
      <c r="B127" s="129"/>
      <c r="C127" s="136"/>
      <c r="D127" s="131"/>
      <c r="E127" s="126"/>
      <c r="F127" s="132"/>
      <c r="G127" s="133"/>
      <c r="H127" s="137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e">
        <f t="shared" si="8"/>
        <v>#N/A</v>
      </c>
    </row>
    <row r="128" spans="1:14" ht="45" customHeight="1">
      <c r="A128" s="135"/>
      <c r="B128" s="129"/>
      <c r="C128" s="136"/>
      <c r="D128" s="131"/>
      <c r="E128" s="126"/>
      <c r="F128" s="132"/>
      <c r="G128" s="133"/>
      <c r="H128" s="137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e">
        <f t="shared" si="8"/>
        <v>#N/A</v>
      </c>
    </row>
    <row r="129" spans="1:14" ht="45" customHeight="1">
      <c r="A129" s="135"/>
      <c r="B129" s="129"/>
      <c r="C129" s="136"/>
      <c r="D129" s="131"/>
      <c r="E129" s="126"/>
      <c r="F129" s="132"/>
      <c r="G129" s="133"/>
      <c r="H129" s="137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e">
        <f t="shared" si="8"/>
        <v>#N/A</v>
      </c>
    </row>
    <row r="130" spans="1:14" ht="45" customHeight="1">
      <c r="A130" s="135"/>
      <c r="B130" s="129"/>
      <c r="C130" s="136"/>
      <c r="D130" s="131"/>
      <c r="E130" s="126"/>
      <c r="F130" s="132"/>
      <c r="G130" s="133"/>
      <c r="H130" s="137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e">
        <f t="shared" si="8"/>
        <v>#N/A</v>
      </c>
    </row>
    <row r="131" spans="1:14" ht="45" customHeight="1">
      <c r="A131" s="135"/>
      <c r="B131" s="129"/>
      <c r="C131" s="136"/>
      <c r="D131" s="131"/>
      <c r="E131" s="126"/>
      <c r="F131" s="132"/>
      <c r="G131" s="133"/>
      <c r="H131" s="137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e">
        <f t="shared" si="8"/>
        <v>#N/A</v>
      </c>
    </row>
    <row r="132" spans="1:14" ht="45" customHeight="1">
      <c r="A132" s="135"/>
      <c r="B132" s="129"/>
      <c r="C132" s="136"/>
      <c r="D132" s="131"/>
      <c r="E132" s="126"/>
      <c r="F132" s="132"/>
      <c r="G132" s="133"/>
      <c r="H132" s="137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e">
        <f t="shared" ref="N132:N195" si="13">AND($M$1="Flat Rate",M132="Staff_Costs")</f>
        <v>#N/A</v>
      </c>
    </row>
    <row r="133" spans="1:14" ht="45" customHeight="1">
      <c r="A133" s="135"/>
      <c r="B133" s="129"/>
      <c r="C133" s="136"/>
      <c r="D133" s="131"/>
      <c r="E133" s="126"/>
      <c r="F133" s="132"/>
      <c r="G133" s="133"/>
      <c r="H133" s="137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e">
        <f t="shared" si="13"/>
        <v>#N/A</v>
      </c>
    </row>
    <row r="134" spans="1:14" ht="45" customHeight="1">
      <c r="A134" s="135"/>
      <c r="B134" s="129"/>
      <c r="C134" s="136"/>
      <c r="D134" s="131"/>
      <c r="E134" s="126"/>
      <c r="F134" s="132"/>
      <c r="G134" s="133"/>
      <c r="H134" s="137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e">
        <f t="shared" si="13"/>
        <v>#N/A</v>
      </c>
    </row>
    <row r="135" spans="1:14" ht="45" customHeight="1">
      <c r="A135" s="135"/>
      <c r="B135" s="129"/>
      <c r="C135" s="136"/>
      <c r="D135" s="131"/>
      <c r="E135" s="126"/>
      <c r="F135" s="132"/>
      <c r="G135" s="133"/>
      <c r="H135" s="137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e">
        <f t="shared" si="13"/>
        <v>#N/A</v>
      </c>
    </row>
    <row r="136" spans="1:14" ht="45" customHeight="1">
      <c r="A136" s="135"/>
      <c r="B136" s="129"/>
      <c r="C136" s="136"/>
      <c r="D136" s="131"/>
      <c r="E136" s="126"/>
      <c r="F136" s="132"/>
      <c r="G136" s="133"/>
      <c r="H136" s="137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e">
        <f t="shared" si="13"/>
        <v>#N/A</v>
      </c>
    </row>
    <row r="137" spans="1:14" ht="45" customHeight="1">
      <c r="A137" s="135"/>
      <c r="B137" s="129"/>
      <c r="C137" s="136"/>
      <c r="D137" s="131"/>
      <c r="E137" s="126"/>
      <c r="F137" s="132"/>
      <c r="G137" s="133"/>
      <c r="H137" s="137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e">
        <f t="shared" si="13"/>
        <v>#N/A</v>
      </c>
    </row>
    <row r="138" spans="1:14" ht="45" customHeight="1">
      <c r="A138" s="135"/>
      <c r="B138" s="129"/>
      <c r="C138" s="136"/>
      <c r="D138" s="131"/>
      <c r="E138" s="126"/>
      <c r="F138" s="132"/>
      <c r="G138" s="133"/>
      <c r="H138" s="137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e">
        <f t="shared" si="13"/>
        <v>#N/A</v>
      </c>
    </row>
    <row r="139" spans="1:14" ht="45" customHeight="1">
      <c r="A139" s="135"/>
      <c r="B139" s="129"/>
      <c r="C139" s="136"/>
      <c r="D139" s="131"/>
      <c r="E139" s="126"/>
      <c r="F139" s="132"/>
      <c r="G139" s="133"/>
      <c r="H139" s="137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e">
        <f t="shared" si="13"/>
        <v>#N/A</v>
      </c>
    </row>
    <row r="140" spans="1:14" ht="45" customHeight="1">
      <c r="A140" s="135"/>
      <c r="B140" s="129"/>
      <c r="C140" s="136"/>
      <c r="D140" s="131"/>
      <c r="E140" s="126"/>
      <c r="F140" s="132"/>
      <c r="G140" s="133"/>
      <c r="H140" s="137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e">
        <f t="shared" si="13"/>
        <v>#N/A</v>
      </c>
    </row>
    <row r="141" spans="1:14" ht="45" customHeight="1">
      <c r="A141" s="135"/>
      <c r="B141" s="129"/>
      <c r="C141" s="136"/>
      <c r="D141" s="131"/>
      <c r="E141" s="126"/>
      <c r="F141" s="132"/>
      <c r="G141" s="133"/>
      <c r="H141" s="137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e">
        <f t="shared" si="13"/>
        <v>#N/A</v>
      </c>
    </row>
    <row r="142" spans="1:14" ht="45" customHeight="1">
      <c r="A142" s="135"/>
      <c r="B142" s="129"/>
      <c r="C142" s="136"/>
      <c r="D142" s="131"/>
      <c r="E142" s="126"/>
      <c r="F142" s="132"/>
      <c r="G142" s="133"/>
      <c r="H142" s="137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e">
        <f t="shared" si="13"/>
        <v>#N/A</v>
      </c>
    </row>
    <row r="143" spans="1:14" ht="45" customHeight="1">
      <c r="A143" s="135"/>
      <c r="B143" s="129"/>
      <c r="C143" s="136"/>
      <c r="D143" s="131"/>
      <c r="E143" s="126"/>
      <c r="F143" s="132"/>
      <c r="G143" s="133"/>
      <c r="H143" s="137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e">
        <f t="shared" si="13"/>
        <v>#N/A</v>
      </c>
    </row>
    <row r="144" spans="1:14" ht="45" customHeight="1">
      <c r="A144" s="135"/>
      <c r="B144" s="129"/>
      <c r="C144" s="136"/>
      <c r="D144" s="131"/>
      <c r="E144" s="126"/>
      <c r="F144" s="132"/>
      <c r="G144" s="133"/>
      <c r="H144" s="137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e">
        <f t="shared" si="13"/>
        <v>#N/A</v>
      </c>
    </row>
    <row r="145" spans="1:14" ht="45" customHeight="1">
      <c r="A145" s="135"/>
      <c r="B145" s="129"/>
      <c r="C145" s="136"/>
      <c r="D145" s="131"/>
      <c r="E145" s="126"/>
      <c r="F145" s="132"/>
      <c r="G145" s="133"/>
      <c r="H145" s="137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e">
        <f t="shared" si="13"/>
        <v>#N/A</v>
      </c>
    </row>
    <row r="146" spans="1:14" ht="45" customHeight="1">
      <c r="A146" s="135"/>
      <c r="B146" s="129"/>
      <c r="C146" s="136"/>
      <c r="D146" s="131"/>
      <c r="E146" s="126"/>
      <c r="F146" s="132"/>
      <c r="G146" s="133"/>
      <c r="H146" s="137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e">
        <f t="shared" si="13"/>
        <v>#N/A</v>
      </c>
    </row>
    <row r="147" spans="1:14" ht="45" customHeight="1">
      <c r="A147" s="135"/>
      <c r="B147" s="129"/>
      <c r="C147" s="136"/>
      <c r="D147" s="131"/>
      <c r="E147" s="126"/>
      <c r="F147" s="132"/>
      <c r="G147" s="133"/>
      <c r="H147" s="137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e">
        <f t="shared" si="13"/>
        <v>#N/A</v>
      </c>
    </row>
    <row r="148" spans="1:14" ht="45" customHeight="1">
      <c r="A148" s="135"/>
      <c r="B148" s="129"/>
      <c r="C148" s="136"/>
      <c r="D148" s="131"/>
      <c r="E148" s="126"/>
      <c r="F148" s="132"/>
      <c r="G148" s="133"/>
      <c r="H148" s="137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e">
        <f t="shared" si="13"/>
        <v>#N/A</v>
      </c>
    </row>
    <row r="149" spans="1:14" ht="45" customHeight="1">
      <c r="A149" s="135"/>
      <c r="B149" s="129"/>
      <c r="C149" s="136"/>
      <c r="D149" s="131"/>
      <c r="E149" s="126"/>
      <c r="F149" s="132"/>
      <c r="G149" s="133"/>
      <c r="H149" s="137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e">
        <f t="shared" si="13"/>
        <v>#N/A</v>
      </c>
    </row>
    <row r="150" spans="1:14" ht="45" customHeight="1">
      <c r="A150" s="135"/>
      <c r="B150" s="129"/>
      <c r="C150" s="136"/>
      <c r="D150" s="131"/>
      <c r="E150" s="126"/>
      <c r="F150" s="132"/>
      <c r="G150" s="133"/>
      <c r="H150" s="137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e">
        <f t="shared" si="13"/>
        <v>#N/A</v>
      </c>
    </row>
    <row r="151" spans="1:14" ht="45" customHeight="1">
      <c r="A151" s="135"/>
      <c r="B151" s="129"/>
      <c r="C151" s="136"/>
      <c r="D151" s="131"/>
      <c r="E151" s="126"/>
      <c r="F151" s="132"/>
      <c r="G151" s="133"/>
      <c r="H151" s="137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e">
        <f t="shared" si="13"/>
        <v>#N/A</v>
      </c>
    </row>
    <row r="152" spans="1:14" ht="45" customHeight="1">
      <c r="A152" s="135"/>
      <c r="B152" s="129"/>
      <c r="C152" s="136"/>
      <c r="D152" s="131"/>
      <c r="E152" s="126"/>
      <c r="F152" s="132"/>
      <c r="G152" s="133"/>
      <c r="H152" s="137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e">
        <f t="shared" si="13"/>
        <v>#N/A</v>
      </c>
    </row>
    <row r="153" spans="1:14" ht="45" customHeight="1">
      <c r="A153" s="135"/>
      <c r="B153" s="129"/>
      <c r="C153" s="136"/>
      <c r="D153" s="131"/>
      <c r="E153" s="126"/>
      <c r="F153" s="132"/>
      <c r="G153" s="133"/>
      <c r="H153" s="137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e">
        <f t="shared" si="13"/>
        <v>#N/A</v>
      </c>
    </row>
    <row r="154" spans="1:14" ht="45" customHeight="1">
      <c r="A154" s="135"/>
      <c r="B154" s="129"/>
      <c r="C154" s="136"/>
      <c r="D154" s="131"/>
      <c r="E154" s="126"/>
      <c r="F154" s="132"/>
      <c r="G154" s="133"/>
      <c r="H154" s="137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e">
        <f t="shared" si="13"/>
        <v>#N/A</v>
      </c>
    </row>
    <row r="155" spans="1:14" ht="45" customHeight="1">
      <c r="A155" s="135"/>
      <c r="B155" s="129"/>
      <c r="C155" s="136"/>
      <c r="D155" s="131"/>
      <c r="E155" s="126"/>
      <c r="F155" s="132"/>
      <c r="G155" s="133"/>
      <c r="H155" s="137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e">
        <f t="shared" si="13"/>
        <v>#N/A</v>
      </c>
    </row>
    <row r="156" spans="1:14" ht="45" customHeight="1">
      <c r="A156" s="135"/>
      <c r="B156" s="129"/>
      <c r="C156" s="136"/>
      <c r="D156" s="131"/>
      <c r="E156" s="126"/>
      <c r="F156" s="132"/>
      <c r="G156" s="133"/>
      <c r="H156" s="137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e">
        <f t="shared" si="13"/>
        <v>#N/A</v>
      </c>
    </row>
    <row r="157" spans="1:14" ht="45" customHeight="1">
      <c r="A157" s="135"/>
      <c r="B157" s="129"/>
      <c r="C157" s="136"/>
      <c r="D157" s="131"/>
      <c r="E157" s="126"/>
      <c r="F157" s="132"/>
      <c r="G157" s="133"/>
      <c r="H157" s="137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e">
        <f t="shared" si="13"/>
        <v>#N/A</v>
      </c>
    </row>
    <row r="158" spans="1:14" ht="45" customHeight="1">
      <c r="A158" s="135"/>
      <c r="B158" s="129"/>
      <c r="C158" s="136"/>
      <c r="D158" s="131"/>
      <c r="E158" s="126"/>
      <c r="F158" s="132"/>
      <c r="G158" s="133"/>
      <c r="H158" s="137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e">
        <f t="shared" si="13"/>
        <v>#N/A</v>
      </c>
    </row>
    <row r="159" spans="1:14" ht="45" customHeight="1">
      <c r="A159" s="135"/>
      <c r="B159" s="129"/>
      <c r="C159" s="136"/>
      <c r="D159" s="131"/>
      <c r="E159" s="126"/>
      <c r="F159" s="132"/>
      <c r="G159" s="133"/>
      <c r="H159" s="137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e">
        <f t="shared" si="13"/>
        <v>#N/A</v>
      </c>
    </row>
    <row r="160" spans="1:14" ht="45" customHeight="1">
      <c r="A160" s="135"/>
      <c r="B160" s="129"/>
      <c r="C160" s="136"/>
      <c r="D160" s="131"/>
      <c r="E160" s="126"/>
      <c r="F160" s="132"/>
      <c r="G160" s="133"/>
      <c r="H160" s="137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e">
        <f t="shared" si="13"/>
        <v>#N/A</v>
      </c>
    </row>
    <row r="161" spans="1:14" ht="45" customHeight="1">
      <c r="A161" s="135"/>
      <c r="B161" s="129"/>
      <c r="C161" s="136"/>
      <c r="D161" s="131"/>
      <c r="E161" s="126"/>
      <c r="F161" s="132"/>
      <c r="G161" s="133"/>
      <c r="H161" s="137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e">
        <f t="shared" si="13"/>
        <v>#N/A</v>
      </c>
    </row>
    <row r="162" spans="1:14" ht="45" customHeight="1">
      <c r="A162" s="135"/>
      <c r="B162" s="129"/>
      <c r="C162" s="136"/>
      <c r="D162" s="131"/>
      <c r="E162" s="126"/>
      <c r="F162" s="132"/>
      <c r="G162" s="133"/>
      <c r="H162" s="137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e">
        <f t="shared" si="13"/>
        <v>#N/A</v>
      </c>
    </row>
    <row r="163" spans="1:14" ht="45" customHeight="1">
      <c r="A163" s="135"/>
      <c r="B163" s="129"/>
      <c r="C163" s="136"/>
      <c r="D163" s="131"/>
      <c r="E163" s="126"/>
      <c r="F163" s="132"/>
      <c r="G163" s="133"/>
      <c r="H163" s="137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e">
        <f t="shared" si="13"/>
        <v>#N/A</v>
      </c>
    </row>
    <row r="164" spans="1:14" ht="45" customHeight="1">
      <c r="A164" s="135"/>
      <c r="B164" s="129"/>
      <c r="C164" s="136"/>
      <c r="D164" s="131"/>
      <c r="E164" s="126"/>
      <c r="F164" s="132"/>
      <c r="G164" s="133"/>
      <c r="H164" s="137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e">
        <f t="shared" si="13"/>
        <v>#N/A</v>
      </c>
    </row>
    <row r="165" spans="1:14" ht="45" customHeight="1">
      <c r="A165" s="135"/>
      <c r="B165" s="129"/>
      <c r="C165" s="136"/>
      <c r="D165" s="131"/>
      <c r="E165" s="126"/>
      <c r="F165" s="132"/>
      <c r="G165" s="133"/>
      <c r="H165" s="137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e">
        <f t="shared" si="13"/>
        <v>#N/A</v>
      </c>
    </row>
    <row r="166" spans="1:14" ht="45" customHeight="1">
      <c r="A166" s="135"/>
      <c r="B166" s="129"/>
      <c r="C166" s="136"/>
      <c r="D166" s="131"/>
      <c r="E166" s="126"/>
      <c r="F166" s="132"/>
      <c r="G166" s="133"/>
      <c r="H166" s="137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e">
        <f t="shared" si="13"/>
        <v>#N/A</v>
      </c>
    </row>
    <row r="167" spans="1:14" ht="45" customHeight="1">
      <c r="A167" s="135"/>
      <c r="B167" s="129"/>
      <c r="C167" s="136"/>
      <c r="D167" s="131"/>
      <c r="E167" s="126"/>
      <c r="F167" s="132"/>
      <c r="G167" s="133"/>
      <c r="H167" s="137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e">
        <f t="shared" si="13"/>
        <v>#N/A</v>
      </c>
    </row>
    <row r="168" spans="1:14" ht="45" customHeight="1">
      <c r="A168" s="135"/>
      <c r="B168" s="129"/>
      <c r="C168" s="136"/>
      <c r="D168" s="131"/>
      <c r="E168" s="126"/>
      <c r="F168" s="132"/>
      <c r="G168" s="133"/>
      <c r="H168" s="137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e">
        <f t="shared" si="13"/>
        <v>#N/A</v>
      </c>
    </row>
    <row r="169" spans="1:14" ht="45" customHeight="1">
      <c r="A169" s="135"/>
      <c r="B169" s="129"/>
      <c r="C169" s="136"/>
      <c r="D169" s="131"/>
      <c r="E169" s="126"/>
      <c r="F169" s="132"/>
      <c r="G169" s="133"/>
      <c r="H169" s="137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e">
        <f t="shared" si="13"/>
        <v>#N/A</v>
      </c>
    </row>
    <row r="170" spans="1:14" ht="45" customHeight="1">
      <c r="A170" s="135"/>
      <c r="B170" s="129"/>
      <c r="C170" s="136"/>
      <c r="D170" s="131"/>
      <c r="E170" s="126"/>
      <c r="F170" s="132"/>
      <c r="G170" s="133"/>
      <c r="H170" s="137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e">
        <f t="shared" si="13"/>
        <v>#N/A</v>
      </c>
    </row>
    <row r="171" spans="1:14" ht="45" customHeight="1">
      <c r="A171" s="135"/>
      <c r="B171" s="129"/>
      <c r="C171" s="136"/>
      <c r="D171" s="131"/>
      <c r="E171" s="126"/>
      <c r="F171" s="132"/>
      <c r="G171" s="133"/>
      <c r="H171" s="137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e">
        <f t="shared" si="13"/>
        <v>#N/A</v>
      </c>
    </row>
    <row r="172" spans="1:14" ht="45" customHeight="1">
      <c r="A172" s="135"/>
      <c r="B172" s="129"/>
      <c r="C172" s="136"/>
      <c r="D172" s="131"/>
      <c r="E172" s="126"/>
      <c r="F172" s="132"/>
      <c r="G172" s="133"/>
      <c r="H172" s="137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e">
        <f t="shared" si="13"/>
        <v>#N/A</v>
      </c>
    </row>
    <row r="173" spans="1:14" ht="45" customHeight="1">
      <c r="A173" s="135"/>
      <c r="B173" s="129"/>
      <c r="C173" s="136"/>
      <c r="D173" s="131"/>
      <c r="E173" s="126"/>
      <c r="F173" s="132"/>
      <c r="G173" s="133"/>
      <c r="H173" s="137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e">
        <f t="shared" si="13"/>
        <v>#N/A</v>
      </c>
    </row>
    <row r="174" spans="1:14" ht="45" customHeight="1">
      <c r="A174" s="135"/>
      <c r="B174" s="129"/>
      <c r="C174" s="136"/>
      <c r="D174" s="131"/>
      <c r="E174" s="126"/>
      <c r="F174" s="132"/>
      <c r="G174" s="133"/>
      <c r="H174" s="137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e">
        <f t="shared" si="13"/>
        <v>#N/A</v>
      </c>
    </row>
    <row r="175" spans="1:14" ht="45" customHeight="1">
      <c r="A175" s="135"/>
      <c r="B175" s="129"/>
      <c r="C175" s="136"/>
      <c r="D175" s="131"/>
      <c r="E175" s="126"/>
      <c r="F175" s="132"/>
      <c r="G175" s="133"/>
      <c r="H175" s="137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e">
        <f t="shared" si="13"/>
        <v>#N/A</v>
      </c>
    </row>
    <row r="176" spans="1:14" ht="45" customHeight="1">
      <c r="A176" s="135"/>
      <c r="B176" s="129"/>
      <c r="C176" s="136"/>
      <c r="D176" s="131"/>
      <c r="E176" s="126"/>
      <c r="F176" s="132"/>
      <c r="G176" s="133"/>
      <c r="H176" s="137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e">
        <f t="shared" si="13"/>
        <v>#N/A</v>
      </c>
    </row>
    <row r="177" spans="1:14" ht="45" customHeight="1">
      <c r="A177" s="135"/>
      <c r="B177" s="129"/>
      <c r="C177" s="136"/>
      <c r="D177" s="131"/>
      <c r="E177" s="126"/>
      <c r="F177" s="132"/>
      <c r="G177" s="133"/>
      <c r="H177" s="137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e">
        <f t="shared" si="13"/>
        <v>#N/A</v>
      </c>
    </row>
    <row r="178" spans="1:14" ht="45" customHeight="1">
      <c r="A178" s="135"/>
      <c r="B178" s="129"/>
      <c r="C178" s="136"/>
      <c r="D178" s="131"/>
      <c r="E178" s="126"/>
      <c r="F178" s="132"/>
      <c r="G178" s="133"/>
      <c r="H178" s="137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e">
        <f t="shared" si="13"/>
        <v>#N/A</v>
      </c>
    </row>
    <row r="179" spans="1:14" ht="45" customHeight="1">
      <c r="A179" s="135"/>
      <c r="B179" s="129"/>
      <c r="C179" s="136"/>
      <c r="D179" s="131"/>
      <c r="E179" s="126"/>
      <c r="F179" s="132"/>
      <c r="G179" s="133"/>
      <c r="H179" s="137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e">
        <f t="shared" si="13"/>
        <v>#N/A</v>
      </c>
    </row>
    <row r="180" spans="1:14" ht="45" customHeight="1">
      <c r="A180" s="135"/>
      <c r="B180" s="129"/>
      <c r="C180" s="136"/>
      <c r="D180" s="131"/>
      <c r="E180" s="126"/>
      <c r="F180" s="132"/>
      <c r="G180" s="133"/>
      <c r="H180" s="137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e">
        <f t="shared" si="13"/>
        <v>#N/A</v>
      </c>
    </row>
    <row r="181" spans="1:14" ht="45" customHeight="1">
      <c r="A181" s="135"/>
      <c r="B181" s="129"/>
      <c r="C181" s="136"/>
      <c r="D181" s="131"/>
      <c r="E181" s="126"/>
      <c r="F181" s="132"/>
      <c r="G181" s="133"/>
      <c r="H181" s="137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e">
        <f t="shared" si="13"/>
        <v>#N/A</v>
      </c>
    </row>
    <row r="182" spans="1:14" ht="45" customHeight="1">
      <c r="A182" s="135"/>
      <c r="B182" s="129"/>
      <c r="C182" s="136"/>
      <c r="D182" s="131"/>
      <c r="E182" s="126"/>
      <c r="F182" s="132"/>
      <c r="G182" s="133"/>
      <c r="H182" s="137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e">
        <f t="shared" si="13"/>
        <v>#N/A</v>
      </c>
    </row>
    <row r="183" spans="1:14" ht="45" customHeight="1">
      <c r="A183" s="135"/>
      <c r="B183" s="129"/>
      <c r="C183" s="136"/>
      <c r="D183" s="131"/>
      <c r="E183" s="126"/>
      <c r="F183" s="132"/>
      <c r="G183" s="133"/>
      <c r="H183" s="137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e">
        <f t="shared" si="13"/>
        <v>#N/A</v>
      </c>
    </row>
    <row r="184" spans="1:14" ht="45" customHeight="1">
      <c r="A184" s="135"/>
      <c r="B184" s="129"/>
      <c r="C184" s="136"/>
      <c r="D184" s="131"/>
      <c r="E184" s="126"/>
      <c r="F184" s="132"/>
      <c r="G184" s="133"/>
      <c r="H184" s="137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e">
        <f t="shared" si="13"/>
        <v>#N/A</v>
      </c>
    </row>
    <row r="185" spans="1:14" ht="45" customHeight="1">
      <c r="A185" s="135"/>
      <c r="B185" s="129"/>
      <c r="C185" s="136"/>
      <c r="D185" s="131"/>
      <c r="E185" s="126"/>
      <c r="F185" s="132"/>
      <c r="G185" s="133"/>
      <c r="H185" s="137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e">
        <f t="shared" si="13"/>
        <v>#N/A</v>
      </c>
    </row>
    <row r="186" spans="1:14" ht="45" customHeight="1">
      <c r="A186" s="135"/>
      <c r="B186" s="129"/>
      <c r="C186" s="136"/>
      <c r="D186" s="131"/>
      <c r="E186" s="126"/>
      <c r="F186" s="132"/>
      <c r="G186" s="133"/>
      <c r="H186" s="137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e">
        <f t="shared" si="13"/>
        <v>#N/A</v>
      </c>
    </row>
    <row r="187" spans="1:14" ht="45" customHeight="1">
      <c r="A187" s="135"/>
      <c r="B187" s="129"/>
      <c r="C187" s="136"/>
      <c r="D187" s="131"/>
      <c r="E187" s="126"/>
      <c r="F187" s="132"/>
      <c r="G187" s="133"/>
      <c r="H187" s="137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e">
        <f t="shared" si="13"/>
        <v>#N/A</v>
      </c>
    </row>
    <row r="188" spans="1:14" ht="45" customHeight="1">
      <c r="A188" s="135"/>
      <c r="B188" s="129"/>
      <c r="C188" s="136"/>
      <c r="D188" s="131"/>
      <c r="E188" s="126"/>
      <c r="F188" s="132"/>
      <c r="G188" s="133"/>
      <c r="H188" s="137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e">
        <f t="shared" si="13"/>
        <v>#N/A</v>
      </c>
    </row>
    <row r="189" spans="1:14" ht="45" customHeight="1">
      <c r="A189" s="135"/>
      <c r="B189" s="129"/>
      <c r="C189" s="136"/>
      <c r="D189" s="131"/>
      <c r="E189" s="126"/>
      <c r="F189" s="132"/>
      <c r="G189" s="133"/>
      <c r="H189" s="137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e">
        <f t="shared" si="13"/>
        <v>#N/A</v>
      </c>
    </row>
    <row r="190" spans="1:14" ht="45" customHeight="1">
      <c r="A190" s="135"/>
      <c r="B190" s="129"/>
      <c r="C190" s="136"/>
      <c r="D190" s="131"/>
      <c r="E190" s="126"/>
      <c r="F190" s="132"/>
      <c r="G190" s="133"/>
      <c r="H190" s="137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e">
        <f t="shared" si="13"/>
        <v>#N/A</v>
      </c>
    </row>
    <row r="191" spans="1:14" ht="45" customHeight="1">
      <c r="A191" s="135"/>
      <c r="B191" s="129"/>
      <c r="C191" s="136"/>
      <c r="D191" s="131"/>
      <c r="E191" s="126"/>
      <c r="F191" s="132"/>
      <c r="G191" s="133"/>
      <c r="H191" s="137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e">
        <f t="shared" si="13"/>
        <v>#N/A</v>
      </c>
    </row>
    <row r="192" spans="1:14" ht="45" customHeight="1">
      <c r="A192" s="135"/>
      <c r="B192" s="129"/>
      <c r="C192" s="136"/>
      <c r="D192" s="131"/>
      <c r="E192" s="126"/>
      <c r="F192" s="132"/>
      <c r="G192" s="133"/>
      <c r="H192" s="137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e">
        <f t="shared" si="13"/>
        <v>#N/A</v>
      </c>
    </row>
    <row r="193" spans="1:16" ht="45" customHeight="1">
      <c r="A193" s="135"/>
      <c r="B193" s="129"/>
      <c r="C193" s="136"/>
      <c r="D193" s="131"/>
      <c r="E193" s="126"/>
      <c r="F193" s="132"/>
      <c r="G193" s="133"/>
      <c r="H193" s="137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e">
        <f t="shared" si="13"/>
        <v>#N/A</v>
      </c>
    </row>
    <row r="194" spans="1:16" ht="45" customHeight="1">
      <c r="A194" s="135"/>
      <c r="B194" s="129"/>
      <c r="C194" s="136"/>
      <c r="D194" s="131"/>
      <c r="E194" s="126"/>
      <c r="F194" s="132"/>
      <c r="G194" s="133"/>
      <c r="H194" s="137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e">
        <f t="shared" si="13"/>
        <v>#N/A</v>
      </c>
    </row>
    <row r="195" spans="1:16" ht="45" customHeight="1">
      <c r="A195" s="135"/>
      <c r="B195" s="129"/>
      <c r="C195" s="136"/>
      <c r="D195" s="131"/>
      <c r="E195" s="126"/>
      <c r="F195" s="132"/>
      <c r="G195" s="133"/>
      <c r="H195" s="137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e">
        <f t="shared" si="13"/>
        <v>#N/A</v>
      </c>
    </row>
    <row r="196" spans="1:16" ht="45" customHeight="1">
      <c r="A196" s="135"/>
      <c r="B196" s="129"/>
      <c r="C196" s="136"/>
      <c r="D196" s="131"/>
      <c r="E196" s="126"/>
      <c r="F196" s="132"/>
      <c r="G196" s="133"/>
      <c r="H196" s="137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e">
        <f t="shared" ref="N196:N201" si="18">AND($M$1="Flat Rate",M196="Staff_Costs")</f>
        <v>#N/A</v>
      </c>
    </row>
    <row r="197" spans="1:16" ht="45" customHeight="1">
      <c r="A197" s="135"/>
      <c r="B197" s="129"/>
      <c r="C197" s="136"/>
      <c r="D197" s="131"/>
      <c r="E197" s="126"/>
      <c r="F197" s="132"/>
      <c r="G197" s="133"/>
      <c r="H197" s="137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e">
        <f t="shared" si="18"/>
        <v>#N/A</v>
      </c>
    </row>
    <row r="198" spans="1:16" ht="47.25" customHeight="1">
      <c r="A198" s="135"/>
      <c r="B198" s="129"/>
      <c r="C198" s="136"/>
      <c r="D198" s="131"/>
      <c r="E198" s="126"/>
      <c r="F198" s="132"/>
      <c r="G198" s="133"/>
      <c r="H198" s="137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e">
        <f t="shared" si="18"/>
        <v>#N/A</v>
      </c>
    </row>
    <row r="199" spans="1:16" ht="47.25" customHeight="1">
      <c r="A199" s="135"/>
      <c r="B199" s="129"/>
      <c r="C199" s="136"/>
      <c r="D199" s="131"/>
      <c r="E199" s="126"/>
      <c r="F199" s="132"/>
      <c r="G199" s="133"/>
      <c r="H199" s="137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e">
        <f t="shared" si="18"/>
        <v>#N/A</v>
      </c>
    </row>
    <row r="200" spans="1:16" ht="47.25" customHeight="1">
      <c r="A200" s="135"/>
      <c r="B200" s="129"/>
      <c r="C200" s="136"/>
      <c r="D200" s="131"/>
      <c r="E200" s="126"/>
      <c r="F200" s="132"/>
      <c r="G200" s="133"/>
      <c r="H200" s="137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e">
        <f t="shared" si="18"/>
        <v>#N/A</v>
      </c>
    </row>
    <row r="201" spans="1:16" ht="47.25" customHeight="1">
      <c r="A201" s="135"/>
      <c r="B201" s="129"/>
      <c r="C201" s="136"/>
      <c r="D201" s="131"/>
      <c r="E201" s="126"/>
      <c r="F201" s="132"/>
      <c r="G201" s="133"/>
      <c r="H201" s="137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e">
        <f t="shared" si="18"/>
        <v>#N/A</v>
      </c>
    </row>
    <row r="202" spans="1:16" ht="18.75">
      <c r="L202" t="s">
        <v>524</v>
      </c>
      <c r="M202" s="66" t="str">
        <f>IF(I1=0,"-",IF(M203=0,"No Staff Costs",IF(P204=TRUE,"ERROR",IF(N204=TRUE,"Flat Rate", IF(N204=FALSE,"Real Costs", )))))</f>
        <v>-</v>
      </c>
      <c r="N202" t="s">
        <v>521</v>
      </c>
      <c r="O202" t="s">
        <v>522</v>
      </c>
      <c r="P202" t="s">
        <v>523</v>
      </c>
    </row>
    <row r="203" spans="1:16">
      <c r="L203" t="s">
        <v>526</v>
      </c>
      <c r="M203">
        <f>COUNTIF(L3:L201,"Staff*")</f>
        <v>0</v>
      </c>
    </row>
    <row r="204" spans="1:16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>
      <c r="L205" t="s">
        <v>518</v>
      </c>
      <c r="M205">
        <f>COUNTIF(L3:L201,"Staff Costs-Real*")</f>
        <v>0</v>
      </c>
    </row>
    <row r="206" spans="1:16" ht="18.75">
      <c r="L206" t="s">
        <v>525</v>
      </c>
      <c r="M206" s="66" t="str">
        <f>IF(I1=0,"-",IF(M207=0,"No O&amp;A Costs",IF(P208=TRUE,"ERROR",IF(N208=TRUE,"Flat Rate", IF(N208=FALSE,"Real Costs", )))))</f>
        <v>-</v>
      </c>
    </row>
    <row r="207" spans="1:16">
      <c r="L207" t="s">
        <v>527</v>
      </c>
      <c r="M207">
        <f>COUNTIF(L3:L201,"Office*")</f>
        <v>0</v>
      </c>
    </row>
    <row r="208" spans="1:16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>
      <c r="L209" t="s">
        <v>520</v>
      </c>
      <c r="M209">
        <f>COUNTIF(L3:L201,"Office and Administration-Real*")</f>
        <v>0</v>
      </c>
    </row>
  </sheetData>
  <sheetProtection password="C613" sheet="1" objects="1" scenarios="1" autoFilter="0"/>
  <autoFilter ref="A2:I2"/>
  <dataConsolidate/>
  <mergeCells count="1">
    <mergeCell ref="G1:H1"/>
  </mergeCells>
  <conditionalFormatting sqref="E1:F1">
    <cfRule type="cellIs" dxfId="27" priority="12" stopIfTrue="1" operator="equal">
      <formula>0</formula>
    </cfRule>
  </conditionalFormatting>
  <conditionalFormatting sqref="I3:I201">
    <cfRule type="expression" dxfId="26" priority="11" stopIfTrue="1">
      <formula>AND(C3="",NOT(H3=""))</formula>
    </cfRule>
  </conditionalFormatting>
  <conditionalFormatting sqref="I3:I201">
    <cfRule type="expression" dxfId="25" priority="10" stopIfTrue="1">
      <formula>AND(B3="",NOT(H3=""))</formula>
    </cfRule>
  </conditionalFormatting>
  <conditionalFormatting sqref="F3">
    <cfRule type="expression" dxfId="24" priority="9" stopIfTrue="1">
      <formula>D3="Flat Rate"</formula>
    </cfRule>
  </conditionalFormatting>
  <conditionalFormatting sqref="F4:F201">
    <cfRule type="expression" dxfId="23" priority="8" stopIfTrue="1">
      <formula>D4="Flat Rate"</formula>
    </cfRule>
  </conditionalFormatting>
  <conditionalFormatting sqref="G3:G201">
    <cfRule type="expression" dxfId="22" priority="1" stopIfTrue="1">
      <formula>D3="Flat Rate"</formula>
    </cfRule>
    <cfRule type="expression" dxfId="21" priority="2" stopIfTrue="1">
      <formula>C3="Staff Costs"</formula>
    </cfRule>
    <cfRule type="expression" dxfId="20" priority="3" stopIfTrue="1">
      <formula>C3="Travel and Accommodation"</formula>
    </cfRule>
  </conditionalFormatting>
  <dataValidations count="5"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sqref="C3:C201">
      <formula1>Budgetline</formula1>
    </dataValidation>
    <dataValidation type="list" allowBlank="1" showInputMessage="1" showErrorMessage="1" sqref="A3:A201">
      <formula1>WPs</formula1>
    </dataValidation>
    <dataValidation type="list" allowBlank="1" showInputMessage="1" showErrorMessage="1" sqref="B3:B201">
      <formula1>IF(A3="WP1", P10WP1, IF(A3="WP2",P10WP2,IF(A3="WP3",P10WP3,IF(A3="WP4",P10WP4,IF(A3="WP5",P10WP5,IF(A3="WP6",P10WP6,0))))))</formula1>
    </dataValidation>
    <dataValidation type="list" allowBlank="1" showInputMessage="1" showErrorMessage="1" errorTitle="Change Budget line orType" sqref="D3:D201">
      <formula1>IF(N3=TRUE,Flat,INDIRECT(M3))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4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X399"/>
  <sheetViews>
    <sheetView zoomScaleSheetLayoutView="115" workbookViewId="0">
      <selection activeCell="G62" sqref="G62:I62"/>
    </sheetView>
  </sheetViews>
  <sheetFormatPr defaultRowHeight="15"/>
  <cols>
    <col min="1" max="1" width="7.5703125" customWidth="1"/>
    <col min="2" max="2" width="3.28515625" customWidth="1"/>
    <col min="3" max="3" width="2.7109375" customWidth="1"/>
    <col min="4" max="8" width="4" customWidth="1"/>
    <col min="9" max="9" width="4.85546875" customWidth="1"/>
    <col min="10" max="11" width="4" customWidth="1"/>
    <col min="12" max="12" width="5" customWidth="1"/>
    <col min="13" max="21" width="4" customWidth="1"/>
    <col min="22" max="24" width="4.42578125" customWidth="1"/>
  </cols>
  <sheetData>
    <row r="1" spans="1:24" ht="30" customHeight="1">
      <c r="A1" s="231" t="s">
        <v>529</v>
      </c>
      <c r="B1" s="231"/>
      <c r="C1" s="231"/>
      <c r="D1" s="214" t="s">
        <v>23</v>
      </c>
      <c r="E1" s="215"/>
      <c r="F1" s="216"/>
      <c r="G1" s="214" t="s">
        <v>24</v>
      </c>
      <c r="H1" s="215"/>
      <c r="I1" s="216"/>
      <c r="J1" s="214" t="s">
        <v>474</v>
      </c>
      <c r="K1" s="215"/>
      <c r="L1" s="216"/>
      <c r="M1" s="214" t="s">
        <v>25</v>
      </c>
      <c r="N1" s="215"/>
      <c r="O1" s="216"/>
      <c r="P1" s="214" t="s">
        <v>26</v>
      </c>
      <c r="Q1" s="215"/>
      <c r="R1" s="216"/>
      <c r="S1" s="214" t="s">
        <v>406</v>
      </c>
      <c r="T1" s="215"/>
      <c r="U1" s="216"/>
      <c r="V1" s="197" t="s">
        <v>423</v>
      </c>
      <c r="W1" s="197"/>
      <c r="X1" s="197"/>
    </row>
    <row r="2" spans="1:24" ht="48.75" customHeight="1">
      <c r="A2" s="232">
        <f>'Cover page'!C22</f>
        <v>0</v>
      </c>
      <c r="B2" s="232"/>
      <c r="C2" s="232"/>
      <c r="D2" s="217"/>
      <c r="E2" s="218"/>
      <c r="F2" s="219"/>
      <c r="G2" s="217"/>
      <c r="H2" s="218"/>
      <c r="I2" s="219"/>
      <c r="J2" s="217"/>
      <c r="K2" s="218"/>
      <c r="L2" s="219"/>
      <c r="M2" s="217"/>
      <c r="N2" s="218"/>
      <c r="O2" s="219"/>
      <c r="P2" s="217"/>
      <c r="Q2" s="218"/>
      <c r="R2" s="219"/>
      <c r="S2" s="217"/>
      <c r="T2" s="218"/>
      <c r="U2" s="219"/>
      <c r="V2" s="197"/>
      <c r="W2" s="197"/>
      <c r="X2" s="197"/>
    </row>
    <row r="3" spans="1:24">
      <c r="A3" s="198" t="s">
        <v>415</v>
      </c>
      <c r="B3" s="198"/>
      <c r="C3" s="198"/>
      <c r="D3" s="203">
        <f>SUM(D4:D8)</f>
        <v>0</v>
      </c>
      <c r="E3" s="204"/>
      <c r="F3" s="205"/>
      <c r="G3" s="203">
        <f>SUM(G4:G8)</f>
        <v>0</v>
      </c>
      <c r="H3" s="204"/>
      <c r="I3" s="205"/>
      <c r="J3" s="203">
        <f>SUM(J4:J8)</f>
        <v>0</v>
      </c>
      <c r="K3" s="204"/>
      <c r="L3" s="205"/>
      <c r="M3" s="203">
        <f>SUM(M4:M8)</f>
        <v>0</v>
      </c>
      <c r="N3" s="204"/>
      <c r="O3" s="205"/>
      <c r="P3" s="203">
        <f>SUM(P4:P8)</f>
        <v>0</v>
      </c>
      <c r="Q3" s="204"/>
      <c r="R3" s="205"/>
      <c r="S3" s="203">
        <f>SUM(S4:S8)</f>
        <v>0</v>
      </c>
      <c r="T3" s="204"/>
      <c r="U3" s="205"/>
      <c r="V3" s="199">
        <f t="shared" ref="V3:V39" si="0">SUM(D3:S3)</f>
        <v>0</v>
      </c>
      <c r="W3" s="200"/>
      <c r="X3" s="200"/>
    </row>
    <row r="4" spans="1:24">
      <c r="A4" s="209" t="s">
        <v>33</v>
      </c>
      <c r="B4" s="209"/>
      <c r="C4" s="209"/>
      <c r="D4" s="206">
        <f>SUMIF('LB (PB1)'!$J$3:$J$201,"D1.1.1-Staff Costs",'LB (PB1)'!$I$3:$I$201)</f>
        <v>0</v>
      </c>
      <c r="E4" s="207"/>
      <c r="F4" s="208"/>
      <c r="G4" s="206">
        <f>SUMIF('LB (PB1)'!$J$3:$J$201,"D1.1.1-Office and Administration",'LB (PB1)'!$I$3:$I$201)</f>
        <v>0</v>
      </c>
      <c r="H4" s="207"/>
      <c r="I4" s="208"/>
      <c r="J4" s="206">
        <f>SUMIF('LB (PB1)'!$J$3:$J$201,"D1.1.1-Travel and Accommodation",'LB (PB1)'!$I$3:$I$201)</f>
        <v>0</v>
      </c>
      <c r="K4" s="207"/>
      <c r="L4" s="208"/>
      <c r="M4" s="206">
        <f>SUMIF('LB (PB1)'!$J$3:$J$201,"D1.1.1-External Expertise and Services",'LB (PB1)'!$I$3:$I$201)</f>
        <v>0</v>
      </c>
      <c r="N4" s="207"/>
      <c r="O4" s="208"/>
      <c r="P4" s="206">
        <f>SUMIF('LB (PB1)'!$J$3:$J$201,"D1.1.1-Equipment",'LB (PB1)'!$I$3:$I$201)</f>
        <v>0</v>
      </c>
      <c r="Q4" s="207"/>
      <c r="R4" s="208"/>
      <c r="S4" s="206">
        <f>SUMIF('LB (PB1)'!$J$3:$J$201,"D1.1.1-Infrastructure and Works",'LB (PB1)'!$I$3:$I$201)</f>
        <v>0</v>
      </c>
      <c r="T4" s="207"/>
      <c r="U4" s="208"/>
      <c r="V4" s="201">
        <f t="shared" si="0"/>
        <v>0</v>
      </c>
      <c r="W4" s="202"/>
      <c r="X4" s="202"/>
    </row>
    <row r="5" spans="1:24">
      <c r="A5" s="209" t="s">
        <v>34</v>
      </c>
      <c r="B5" s="209"/>
      <c r="C5" s="209"/>
      <c r="D5" s="206">
        <f>SUMIF('LB (PB1)'!$J$3:$J$201,"D1.1.2-Staff Costs",'LB (PB1)'!$I$3:$I$201)</f>
        <v>0</v>
      </c>
      <c r="E5" s="207"/>
      <c r="F5" s="208"/>
      <c r="G5" s="206">
        <f>SUMIF('LB (PB1)'!$J$3:$J$201,"D1.1.2-Office and Administration",'LB (PB1)'!$I$3:$I$201)</f>
        <v>0</v>
      </c>
      <c r="H5" s="207"/>
      <c r="I5" s="208"/>
      <c r="J5" s="206">
        <f>SUMIF('LB (PB1)'!$J$3:$J$201,"D1.1.2-Travel and Accommodation",'LB (PB1)'!$I$3:$I$201)</f>
        <v>0</v>
      </c>
      <c r="K5" s="207"/>
      <c r="L5" s="208"/>
      <c r="M5" s="206">
        <f>SUMIF('LB (PB1)'!$J$3:$J$201,"D1.1.2-External Expertise and Services",'LB (PB1)'!$I$3:$I$201)</f>
        <v>0</v>
      </c>
      <c r="N5" s="207"/>
      <c r="O5" s="208"/>
      <c r="P5" s="206">
        <f>SUMIF('LB (PB1)'!$J$3:$J$201,"D1.1.2-Equipment",'LB (PB1)'!$I$3:$I$201)</f>
        <v>0</v>
      </c>
      <c r="Q5" s="207"/>
      <c r="R5" s="208"/>
      <c r="S5" s="206">
        <f>SUMIF('LB (PB1)'!$J$3:$J$201,"D1.1.2-Infrastructure and Works",'LB (PB1)'!$I$3:$I$201)</f>
        <v>0</v>
      </c>
      <c r="T5" s="207"/>
      <c r="U5" s="208"/>
      <c r="V5" s="201">
        <f t="shared" si="0"/>
        <v>0</v>
      </c>
      <c r="W5" s="202"/>
      <c r="X5" s="202"/>
    </row>
    <row r="6" spans="1:24">
      <c r="A6" s="209" t="s">
        <v>35</v>
      </c>
      <c r="B6" s="209" t="s">
        <v>35</v>
      </c>
      <c r="C6" s="209" t="s">
        <v>35</v>
      </c>
      <c r="D6" s="206">
        <f>SUMIF('LB (PB1)'!$J$3:$J$201,"D1.1.3-Staff Costs",'LB (PB1)'!$I$3:$I$201)</f>
        <v>0</v>
      </c>
      <c r="E6" s="207"/>
      <c r="F6" s="208"/>
      <c r="G6" s="206">
        <f>SUMIF('LB (PB1)'!$J$3:$J$201,"D1.1.3-Office and Administration",'LB (PB1)'!$I$3:$I$201)</f>
        <v>0</v>
      </c>
      <c r="H6" s="207"/>
      <c r="I6" s="208"/>
      <c r="J6" s="206">
        <f>SUMIF('LB (PB1)'!$J$3:$J$201,"D1.1.3-Travel and Accommodation",'LB (PB1)'!$I$3:$I$201)</f>
        <v>0</v>
      </c>
      <c r="K6" s="207"/>
      <c r="L6" s="208"/>
      <c r="M6" s="206">
        <f>SUMIF('LB (PB1)'!$J$3:$J$201,"D1.1.3-External Expertise and Services",'LB (PB1)'!$I$3:$I$201)</f>
        <v>0</v>
      </c>
      <c r="N6" s="207"/>
      <c r="O6" s="208"/>
      <c r="P6" s="206">
        <f>SUMIF('LB (PB1)'!$J$3:$J$201,"D1.1.3-Equipment",'LB (PB1)'!$I$3:$I$201)</f>
        <v>0</v>
      </c>
      <c r="Q6" s="207"/>
      <c r="R6" s="208"/>
      <c r="S6" s="206">
        <f>SUMIF('LB (PB1)'!$J$3:$J$201,"D1.1.3-Infrastructure and Works",'LB (PB1)'!$I$3:$I$201)</f>
        <v>0</v>
      </c>
      <c r="T6" s="207"/>
      <c r="U6" s="208"/>
      <c r="V6" s="201">
        <f t="shared" si="0"/>
        <v>0</v>
      </c>
      <c r="W6" s="202"/>
      <c r="X6" s="202"/>
    </row>
    <row r="7" spans="1:24">
      <c r="A7" s="209" t="s">
        <v>36</v>
      </c>
      <c r="B7" s="209" t="s">
        <v>36</v>
      </c>
      <c r="C7" s="209" t="s">
        <v>36</v>
      </c>
      <c r="D7" s="206">
        <f>SUMIF('LB (PB1)'!$J$3:$J$201,"D1.1.4-Staff Costs",'LB (PB1)'!$I$3:$I$201)</f>
        <v>0</v>
      </c>
      <c r="E7" s="207"/>
      <c r="F7" s="208"/>
      <c r="G7" s="206">
        <f>SUMIF('LB (PB1)'!$J$3:$J$201,"D1.1.4-Office and Administration",'LB (PB1)'!$I$3:$I$201)</f>
        <v>0</v>
      </c>
      <c r="H7" s="207"/>
      <c r="I7" s="208"/>
      <c r="J7" s="206">
        <f>SUMIF('LB (PB1)'!$J$3:$J$201,"D1.1.4-Travel and Accommodation",'LB (PB1)'!$I$3:$I$201)</f>
        <v>0</v>
      </c>
      <c r="K7" s="207"/>
      <c r="L7" s="208"/>
      <c r="M7" s="206">
        <f>SUMIF('LB (PB1)'!$J$3:$J$201,"D1.1.4-External Expertise and Services",'LB (PB1)'!$I$3:$I$201)</f>
        <v>0</v>
      </c>
      <c r="N7" s="207"/>
      <c r="O7" s="208"/>
      <c r="P7" s="206">
        <f>SUMIF('LB (PB1)'!$J$3:$J$201,"D1.1.4-Equipment",'LB (PB1)'!$I$3:$I$201)</f>
        <v>0</v>
      </c>
      <c r="Q7" s="207"/>
      <c r="R7" s="208"/>
      <c r="S7" s="206">
        <f>SUMIF('LB (PB1)'!$J$3:$J$201,"D1.1.4-Infrastructure and Works",'LB (PB1)'!$I$3:$I$201)</f>
        <v>0</v>
      </c>
      <c r="T7" s="207"/>
      <c r="U7" s="208"/>
      <c r="V7" s="201">
        <f t="shared" si="0"/>
        <v>0</v>
      </c>
      <c r="W7" s="202"/>
      <c r="X7" s="202"/>
    </row>
    <row r="8" spans="1:24">
      <c r="A8" s="209" t="s">
        <v>37</v>
      </c>
      <c r="B8" s="209" t="s">
        <v>37</v>
      </c>
      <c r="C8" s="209" t="s">
        <v>37</v>
      </c>
      <c r="D8" s="206">
        <f>SUMIF('LB (PB1)'!$J$3:$J$201,"D1.1.5-Staff Costs",'LB (PB1)'!$I$3:$I$201)</f>
        <v>0</v>
      </c>
      <c r="E8" s="207"/>
      <c r="F8" s="208"/>
      <c r="G8" s="206">
        <f>SUMIF('LB (PB1)'!$J$3:$J$201,"D1.1.5-Office and Administration",'LB (PB1)'!$I$3:$I$201)</f>
        <v>0</v>
      </c>
      <c r="H8" s="207"/>
      <c r="I8" s="208"/>
      <c r="J8" s="206">
        <f>SUMIF('LB (PB1)'!$J$3:$J$201,"D1.1.5-Travel and Accommodation",'LB (PB1)'!$I$3:$I$201)</f>
        <v>0</v>
      </c>
      <c r="K8" s="207"/>
      <c r="L8" s="208"/>
      <c r="M8" s="206">
        <f>SUMIF('LB (PB1)'!$J$3:$J$201,"D1.1.5-External Expertise and Services",'LB (PB1)'!$I$3:$I$201)</f>
        <v>0</v>
      </c>
      <c r="N8" s="207"/>
      <c r="O8" s="208"/>
      <c r="P8" s="206">
        <f>SUMIF('LB (PB1)'!$J$3:$J$201,"D1.1.5-Equipment",'LB (PB1)'!$I$3:$I$201)</f>
        <v>0</v>
      </c>
      <c r="Q8" s="207"/>
      <c r="R8" s="208"/>
      <c r="S8" s="206">
        <f>SUMIF('LB (PB1)'!$J$3:$J$201,"D1.1.5-Infrastructure and Works",'LB (PB1)'!$I$3:$I$201)</f>
        <v>0</v>
      </c>
      <c r="T8" s="207"/>
      <c r="U8" s="208"/>
      <c r="V8" s="201">
        <f t="shared" si="0"/>
        <v>0</v>
      </c>
      <c r="W8" s="202"/>
      <c r="X8" s="202"/>
    </row>
    <row r="9" spans="1:24" ht="15" customHeight="1">
      <c r="A9" s="198" t="s">
        <v>416</v>
      </c>
      <c r="B9" s="198"/>
      <c r="C9" s="198"/>
      <c r="D9" s="203">
        <f>SUM(D10:D14)</f>
        <v>0</v>
      </c>
      <c r="E9" s="204"/>
      <c r="F9" s="205"/>
      <c r="G9" s="203">
        <f>SUM(G10:G14)</f>
        <v>0</v>
      </c>
      <c r="H9" s="204"/>
      <c r="I9" s="205"/>
      <c r="J9" s="203">
        <f>SUM(J10:J14)</f>
        <v>0</v>
      </c>
      <c r="K9" s="204"/>
      <c r="L9" s="205"/>
      <c r="M9" s="203">
        <f>SUM(M10:M14)</f>
        <v>0</v>
      </c>
      <c r="N9" s="204"/>
      <c r="O9" s="205"/>
      <c r="P9" s="203">
        <f>SUM(P10:P14)</f>
        <v>0</v>
      </c>
      <c r="Q9" s="204"/>
      <c r="R9" s="205"/>
      <c r="S9" s="203">
        <f>SUM(S10:S14)</f>
        <v>0</v>
      </c>
      <c r="T9" s="204"/>
      <c r="U9" s="205"/>
      <c r="V9" s="199">
        <f t="shared" si="0"/>
        <v>0</v>
      </c>
      <c r="W9" s="200"/>
      <c r="X9" s="200"/>
    </row>
    <row r="10" spans="1:24">
      <c r="A10" s="209" t="s">
        <v>38</v>
      </c>
      <c r="B10" s="209" t="s">
        <v>38</v>
      </c>
      <c r="C10" s="209" t="s">
        <v>38</v>
      </c>
      <c r="D10" s="206">
        <f>SUMIF('LB (PB1)'!$J$3:$J$201,"D2.1.1-Staff Costs",'LB (PB1)'!$I$3:$I$201)</f>
        <v>0</v>
      </c>
      <c r="E10" s="207"/>
      <c r="F10" s="208"/>
      <c r="G10" s="206">
        <f>SUMIF('LB (PB1)'!$J$3:$J$201,"D2.1.1-Office and Administration",'LB (PB1)'!$I$3:$I$201)</f>
        <v>0</v>
      </c>
      <c r="H10" s="207"/>
      <c r="I10" s="208"/>
      <c r="J10" s="206">
        <f>SUMIF('LB (PB1)'!$J$3:$J$201,"D2.1.1-Travel and Accommodation",'LB (PB1)'!$I$3:$I$201)</f>
        <v>0</v>
      </c>
      <c r="K10" s="207"/>
      <c r="L10" s="208"/>
      <c r="M10" s="206">
        <f>SUMIF('LB (PB1)'!$J$3:$J$201,"D2.1.1-External Expertise and Services",'LB (PB1)'!$I$3:$I$201)</f>
        <v>0</v>
      </c>
      <c r="N10" s="207"/>
      <c r="O10" s="208"/>
      <c r="P10" s="206">
        <f>SUMIF('LB (PB1)'!$J$3:$J$201,"D2.1.1-Equipment",'LB (PB1)'!$I$3:$I$201)</f>
        <v>0</v>
      </c>
      <c r="Q10" s="207"/>
      <c r="R10" s="208"/>
      <c r="S10" s="206">
        <f>SUMIF('LB (PB1)'!$J$3:$J$201,"D2.1.1-Infrastructure and Works",'LB (PB1)'!$I$3:$I$201)</f>
        <v>0</v>
      </c>
      <c r="T10" s="207"/>
      <c r="U10" s="208"/>
      <c r="V10" s="201">
        <f t="shared" si="0"/>
        <v>0</v>
      </c>
      <c r="W10" s="202"/>
      <c r="X10" s="202"/>
    </row>
    <row r="11" spans="1:24">
      <c r="A11" s="209" t="s">
        <v>39</v>
      </c>
      <c r="B11" s="209" t="s">
        <v>39</v>
      </c>
      <c r="C11" s="209" t="s">
        <v>39</v>
      </c>
      <c r="D11" s="206">
        <f>SUMIF('LB (PB1)'!$J$3:$J$201,"D2.1.2-Staff Costs",'LB (PB1)'!$I$3:$I$201)</f>
        <v>0</v>
      </c>
      <c r="E11" s="207"/>
      <c r="F11" s="208"/>
      <c r="G11" s="206">
        <f>SUMIF('LB (PB1)'!$J$3:$J$201,"D2.1.2-Office and Administration",'LB (PB1)'!$I$3:$I$201)</f>
        <v>0</v>
      </c>
      <c r="H11" s="207"/>
      <c r="I11" s="208"/>
      <c r="J11" s="206">
        <f>SUMIF('LB (PB1)'!$J$3:$J$201,"D2.1.2-Travel and Accommodation",'LB (PB1)'!$I$3:$I$201)</f>
        <v>0</v>
      </c>
      <c r="K11" s="207"/>
      <c r="L11" s="208"/>
      <c r="M11" s="206">
        <f>SUMIF('LB (PB1)'!$J$3:$J$201,"D2.1.2-External Expertise and Services",'LB (PB1)'!$I$3:$I$201)</f>
        <v>0</v>
      </c>
      <c r="N11" s="207"/>
      <c r="O11" s="208"/>
      <c r="P11" s="206">
        <f>SUMIF('LB (PB1)'!$J$3:$J$201,"D2.1.2-Equipment",'LB (PB1)'!$I$3:$I$201)</f>
        <v>0</v>
      </c>
      <c r="Q11" s="207"/>
      <c r="R11" s="208"/>
      <c r="S11" s="206">
        <f>SUMIF('LB (PB1)'!$J$3:$J$201,"D2.1.2-Infrastructure and Works",'LB (PB1)'!$I$3:$I$201)</f>
        <v>0</v>
      </c>
      <c r="T11" s="207"/>
      <c r="U11" s="208"/>
      <c r="V11" s="201">
        <f t="shared" si="0"/>
        <v>0</v>
      </c>
      <c r="W11" s="202"/>
      <c r="X11" s="202"/>
    </row>
    <row r="12" spans="1:24">
      <c r="A12" s="209" t="s">
        <v>40</v>
      </c>
      <c r="B12" s="209" t="s">
        <v>40</v>
      </c>
      <c r="C12" s="209" t="s">
        <v>40</v>
      </c>
      <c r="D12" s="206">
        <f>SUMIF('LB (PB1)'!$J$3:$J$201,"D2.1.3-Staff Costs",'LB (PB1)'!$I$3:$I$201)</f>
        <v>0</v>
      </c>
      <c r="E12" s="207"/>
      <c r="F12" s="208"/>
      <c r="G12" s="206">
        <f>SUMIF('LB (PB1)'!$J$3:$J$201,"D2.1.3-Office and Administration",'LB (PB1)'!$I$3:$I$201)</f>
        <v>0</v>
      </c>
      <c r="H12" s="207"/>
      <c r="I12" s="208"/>
      <c r="J12" s="206">
        <f>SUMIF('LB (PB1)'!$J$3:$J$201,"D2.1.3-Travel and Accommodation",'LB (PB1)'!$I$3:$I$201)</f>
        <v>0</v>
      </c>
      <c r="K12" s="207"/>
      <c r="L12" s="208"/>
      <c r="M12" s="206">
        <f>SUMIF('LB (PB1)'!$J$3:$J$201,"D2.1.3-External Expertise and Services",'LB (PB1)'!$I$3:$I$201)</f>
        <v>0</v>
      </c>
      <c r="N12" s="207"/>
      <c r="O12" s="208"/>
      <c r="P12" s="206">
        <f>SUMIF('LB (PB1)'!$J$3:$J$201,"D2.1.3-Equipment",'LB (PB1)'!$I$3:$I$201)</f>
        <v>0</v>
      </c>
      <c r="Q12" s="207"/>
      <c r="R12" s="208"/>
      <c r="S12" s="206">
        <f>SUMIF('LB (PB1)'!$J$3:$J$201,"D2.1.3-Infrastructure and Works",'LB (PB1)'!$I$3:$I$201)</f>
        <v>0</v>
      </c>
      <c r="T12" s="207"/>
      <c r="U12" s="208"/>
      <c r="V12" s="201">
        <f t="shared" si="0"/>
        <v>0</v>
      </c>
      <c r="W12" s="202"/>
      <c r="X12" s="202"/>
    </row>
    <row r="13" spans="1:24">
      <c r="A13" s="209" t="s">
        <v>41</v>
      </c>
      <c r="B13" s="209" t="s">
        <v>41</v>
      </c>
      <c r="C13" s="209" t="s">
        <v>41</v>
      </c>
      <c r="D13" s="206">
        <f>SUMIF('LB (PB1)'!$J$3:$J$201,"D2.1.4-Staff Costs",'LB (PB1)'!$I$3:$I$201)</f>
        <v>0</v>
      </c>
      <c r="E13" s="207"/>
      <c r="F13" s="208"/>
      <c r="G13" s="206">
        <f>SUMIF('LB (PB1)'!$J$3:$J$201,"D2.1.4-Office and Administration",'LB (PB1)'!$I$3:$I$201)</f>
        <v>0</v>
      </c>
      <c r="H13" s="207"/>
      <c r="I13" s="208"/>
      <c r="J13" s="206">
        <f>SUMIF('LB (PB1)'!$J$3:$J$201,"D2.1.4-Travel and Accommodation",'LB (PB1)'!$I$3:$I$201)</f>
        <v>0</v>
      </c>
      <c r="K13" s="207"/>
      <c r="L13" s="208"/>
      <c r="M13" s="206">
        <f>SUMIF('LB (PB1)'!$J$3:$J$201,"D2.1.4-External Expertise and Services",'LB (PB1)'!$I$3:$I$201)</f>
        <v>0</v>
      </c>
      <c r="N13" s="207"/>
      <c r="O13" s="208"/>
      <c r="P13" s="206">
        <f>SUMIF('LB (PB1)'!$J$3:$J$201,"D2.1.4-Equipment",'LB (PB1)'!$I$3:$I$201)</f>
        <v>0</v>
      </c>
      <c r="Q13" s="207"/>
      <c r="R13" s="208"/>
      <c r="S13" s="206">
        <f>SUMIF('LB (PB1)'!$J$3:$J$201,"D2.1.4-Infrastructure and Works",'LB (PB1)'!$I$3:$I$201)</f>
        <v>0</v>
      </c>
      <c r="T13" s="207"/>
      <c r="U13" s="208"/>
      <c r="V13" s="201">
        <f t="shared" si="0"/>
        <v>0</v>
      </c>
      <c r="W13" s="202"/>
      <c r="X13" s="202"/>
    </row>
    <row r="14" spans="1:24">
      <c r="A14" s="209" t="s">
        <v>42</v>
      </c>
      <c r="B14" s="209" t="s">
        <v>42</v>
      </c>
      <c r="C14" s="209" t="s">
        <v>42</v>
      </c>
      <c r="D14" s="206">
        <f>SUMIF('LB (PB1)'!$J$3:$J$201,"D2.1.5-Staff Costs",'LB (PB1)'!$I$3:$I$201)</f>
        <v>0</v>
      </c>
      <c r="E14" s="207"/>
      <c r="F14" s="208"/>
      <c r="G14" s="206">
        <f>SUMIF('LB (PB1)'!$J$3:$J$201,"D2.1.5-Office and Administration",'LB (PB1)'!$I$3:$I$201)</f>
        <v>0</v>
      </c>
      <c r="H14" s="207"/>
      <c r="I14" s="208"/>
      <c r="J14" s="206">
        <f>SUMIF('LB (PB1)'!$J$3:$J$201,"D2.1.5-Travel and Accommodation",'LB (PB1)'!$I$3:$I$201)</f>
        <v>0</v>
      </c>
      <c r="K14" s="207"/>
      <c r="L14" s="208"/>
      <c r="M14" s="206">
        <f>SUMIF('LB (PB1)'!$J$3:$J$201,"D2.1.5-External Expertise and Services",'LB (PB1)'!$I$3:$I$201)</f>
        <v>0</v>
      </c>
      <c r="N14" s="207"/>
      <c r="O14" s="208"/>
      <c r="P14" s="206">
        <f>SUMIF('LB (PB1)'!$J$3:$J$201,"D2.1.5-Equipment",'LB (PB1)'!$I$3:$I$201)</f>
        <v>0</v>
      </c>
      <c r="Q14" s="207"/>
      <c r="R14" s="208"/>
      <c r="S14" s="206">
        <f>SUMIF('LB (PB1)'!$J$3:$J$201,"D2.1.5-Infrastructure and Works",'LB (PB1)'!$I$3:$I$201)</f>
        <v>0</v>
      </c>
      <c r="T14" s="207"/>
      <c r="U14" s="208"/>
      <c r="V14" s="201">
        <f t="shared" si="0"/>
        <v>0</v>
      </c>
      <c r="W14" s="202"/>
      <c r="X14" s="202"/>
    </row>
    <row r="15" spans="1:24" ht="15" customHeight="1">
      <c r="A15" s="198" t="s">
        <v>417</v>
      </c>
      <c r="B15" s="198"/>
      <c r="C15" s="198" t="s">
        <v>418</v>
      </c>
      <c r="D15" s="203">
        <f>SUM(D16:D20)</f>
        <v>0</v>
      </c>
      <c r="E15" s="204"/>
      <c r="F15" s="205"/>
      <c r="G15" s="203">
        <f>SUM(G16:G20)</f>
        <v>0</v>
      </c>
      <c r="H15" s="204"/>
      <c r="I15" s="205"/>
      <c r="J15" s="203">
        <f>SUM(J16:J20)</f>
        <v>0</v>
      </c>
      <c r="K15" s="204"/>
      <c r="L15" s="205"/>
      <c r="M15" s="203">
        <f>SUM(M16:M20)</f>
        <v>0</v>
      </c>
      <c r="N15" s="204"/>
      <c r="O15" s="205"/>
      <c r="P15" s="203">
        <f>SUM(P16:P20)</f>
        <v>0</v>
      </c>
      <c r="Q15" s="204"/>
      <c r="R15" s="205"/>
      <c r="S15" s="203">
        <f>SUM(S16:S20)</f>
        <v>0</v>
      </c>
      <c r="T15" s="204"/>
      <c r="U15" s="205"/>
      <c r="V15" s="199">
        <f t="shared" si="0"/>
        <v>0</v>
      </c>
      <c r="W15" s="200"/>
      <c r="X15" s="200"/>
    </row>
    <row r="16" spans="1:24">
      <c r="A16" s="209" t="s">
        <v>43</v>
      </c>
      <c r="B16" s="209" t="s">
        <v>43</v>
      </c>
      <c r="C16" s="209" t="s">
        <v>43</v>
      </c>
      <c r="D16" s="206">
        <f>SUMIF('LB (PB1)'!$J$3:$J$201,"D3.1.1-Staff Costs",'LB (PB1)'!$I$3:$I$201)</f>
        <v>0</v>
      </c>
      <c r="E16" s="207"/>
      <c r="F16" s="208"/>
      <c r="G16" s="206">
        <f>SUMIF('LB (PB1)'!$J$3:$J$201,"D3.1.1-Office and Administration",'LB (PB1)'!$I$3:$I$201)</f>
        <v>0</v>
      </c>
      <c r="H16" s="207"/>
      <c r="I16" s="208"/>
      <c r="J16" s="206">
        <f>SUMIF('LB (PB1)'!$J$3:$J$201,"D3.1.1-Travel and Accommodation",'LB (PB1)'!$I$3:$I$201)</f>
        <v>0</v>
      </c>
      <c r="K16" s="207"/>
      <c r="L16" s="208"/>
      <c r="M16" s="206">
        <f>SUMIF('LB (PB1)'!$J$3:$J$201,"D3.1.1-External Expertise and Services",'LB (PB1)'!$I$3:$I$201)</f>
        <v>0</v>
      </c>
      <c r="N16" s="207"/>
      <c r="O16" s="208"/>
      <c r="P16" s="206">
        <f>SUMIF('LB (PB1)'!$J$3:$J$201,"D3.1.1-Equipment",'LB (PB1)'!$I$3:$I$201)</f>
        <v>0</v>
      </c>
      <c r="Q16" s="207"/>
      <c r="R16" s="208"/>
      <c r="S16" s="206">
        <f>SUMIF('LB (PB1)'!$J$3:$J$201,"D3.1.1-Infrastructure and Works",'LB (PB1)'!$I$3:$I$201)</f>
        <v>0</v>
      </c>
      <c r="T16" s="207"/>
      <c r="U16" s="208"/>
      <c r="V16" s="201">
        <f t="shared" si="0"/>
        <v>0</v>
      </c>
      <c r="W16" s="202"/>
      <c r="X16" s="202"/>
    </row>
    <row r="17" spans="1:24">
      <c r="A17" s="209" t="s">
        <v>44</v>
      </c>
      <c r="B17" s="209" t="s">
        <v>44</v>
      </c>
      <c r="C17" s="209" t="s">
        <v>44</v>
      </c>
      <c r="D17" s="206">
        <f>SUMIF('LB (PB1)'!$J$3:$J$201,"D3.1.2-Staff Costs",'LB (PB1)'!$I$3:$I$201)</f>
        <v>0</v>
      </c>
      <c r="E17" s="207"/>
      <c r="F17" s="208"/>
      <c r="G17" s="206">
        <f>SUMIF('LB (PB1)'!$J$3:$J$201,"D3.1.2-Office and Administration",'LB (PB1)'!$I$3:$I$201)</f>
        <v>0</v>
      </c>
      <c r="H17" s="207"/>
      <c r="I17" s="208"/>
      <c r="J17" s="206">
        <f>SUMIF('LB (PB1)'!$J$3:$J$201,"D3.1.2-Travel and Accommodation",'LB (PB1)'!$I$3:$I$201)</f>
        <v>0</v>
      </c>
      <c r="K17" s="207"/>
      <c r="L17" s="208"/>
      <c r="M17" s="206">
        <f>SUMIF('LB (PB1)'!$J$3:$J$201,"D3.1.2-External Expertise and Services",'LB (PB1)'!$I$3:$I$201)</f>
        <v>0</v>
      </c>
      <c r="N17" s="207"/>
      <c r="O17" s="208"/>
      <c r="P17" s="206">
        <f>SUMIF('LB (PB1)'!$J$3:$J$201,"D3.1.2-Equipment",'LB (PB1)'!$I$3:$I$201)</f>
        <v>0</v>
      </c>
      <c r="Q17" s="207"/>
      <c r="R17" s="208"/>
      <c r="S17" s="206">
        <f>SUMIF('LB (PB1)'!$J$3:$J$201,"D3.1.2-Infrastructure and Works",'LB (PB1)'!$I$3:$I$201)</f>
        <v>0</v>
      </c>
      <c r="T17" s="207"/>
      <c r="U17" s="208"/>
      <c r="V17" s="201">
        <f t="shared" si="0"/>
        <v>0</v>
      </c>
      <c r="W17" s="202"/>
      <c r="X17" s="202"/>
    </row>
    <row r="18" spans="1:24">
      <c r="A18" s="209" t="s">
        <v>45</v>
      </c>
      <c r="B18" s="209" t="s">
        <v>45</v>
      </c>
      <c r="C18" s="209" t="s">
        <v>45</v>
      </c>
      <c r="D18" s="206">
        <f>SUMIF('LB (PB1)'!$J$3:$J$201,"D3.1.3-Staff Costs",'LB (PB1)'!$I$3:$I$201)</f>
        <v>0</v>
      </c>
      <c r="E18" s="207"/>
      <c r="F18" s="208"/>
      <c r="G18" s="206">
        <f>SUMIF('LB (PB1)'!$J$3:$J$201,"D3.1.3-Office and Administration",'LB (PB1)'!$I$3:$I$201)</f>
        <v>0</v>
      </c>
      <c r="H18" s="207"/>
      <c r="I18" s="208"/>
      <c r="J18" s="206">
        <f>SUMIF('LB (PB1)'!$J$3:$J$201,"D3.1.3-Travel and Accommodation",'LB (PB1)'!$I$3:$I$201)</f>
        <v>0</v>
      </c>
      <c r="K18" s="207"/>
      <c r="L18" s="208"/>
      <c r="M18" s="206">
        <f>SUMIF('LB (PB1)'!$J$3:$J$201,"D3.1.3-External Expertise and Services",'LB (PB1)'!$I$3:$I$201)</f>
        <v>0</v>
      </c>
      <c r="N18" s="207"/>
      <c r="O18" s="208"/>
      <c r="P18" s="206">
        <f>SUMIF('LB (PB1)'!$J$3:$J$201,"D3.1.3-Equipment",'LB (PB1)'!$I$3:$I$201)</f>
        <v>0</v>
      </c>
      <c r="Q18" s="207"/>
      <c r="R18" s="208"/>
      <c r="S18" s="206">
        <f>SUMIF('LB (PB1)'!$J$3:$J$201,"D3.1.3-Infrastructure and Works",'LB (PB1)'!$I$3:$I$201)</f>
        <v>0</v>
      </c>
      <c r="T18" s="207"/>
      <c r="U18" s="208"/>
      <c r="V18" s="201">
        <f t="shared" si="0"/>
        <v>0</v>
      </c>
      <c r="W18" s="202"/>
      <c r="X18" s="202"/>
    </row>
    <row r="19" spans="1:24">
      <c r="A19" s="209" t="s">
        <v>46</v>
      </c>
      <c r="B19" s="209" t="s">
        <v>46</v>
      </c>
      <c r="C19" s="209" t="s">
        <v>46</v>
      </c>
      <c r="D19" s="206">
        <f>SUMIF('LB (PB1)'!$J$3:$J$201,"D3.1.4-Staff Costs",'LB (PB1)'!$I$3:$I$201)</f>
        <v>0</v>
      </c>
      <c r="E19" s="207"/>
      <c r="F19" s="208"/>
      <c r="G19" s="206">
        <f>SUMIF('LB (PB1)'!$J$3:$J$201,"D3.1.4-Office and Administration",'LB (PB1)'!$I$3:$I$201)</f>
        <v>0</v>
      </c>
      <c r="H19" s="207"/>
      <c r="I19" s="208"/>
      <c r="J19" s="206">
        <f>SUMIF('LB (PB1)'!$J$3:$J$201,"D3.1.4-Travel and Accommodation",'LB (PB1)'!$I$3:$I$201)</f>
        <v>0</v>
      </c>
      <c r="K19" s="207"/>
      <c r="L19" s="208"/>
      <c r="M19" s="206">
        <f>SUMIF('LB (PB1)'!$J$3:$J$201,"D3.1.4-External Expertise and Services",'LB (PB1)'!$I$3:$I$201)</f>
        <v>0</v>
      </c>
      <c r="N19" s="207"/>
      <c r="O19" s="208"/>
      <c r="P19" s="206">
        <f>SUMIF('LB (PB1)'!$J$3:$J$201,"D3.1.4-Equipment",'LB (PB1)'!$I$3:$I$201)</f>
        <v>0</v>
      </c>
      <c r="Q19" s="207"/>
      <c r="R19" s="208"/>
      <c r="S19" s="206">
        <f>SUMIF('LB (PB1)'!$J$3:$J$201,"D3.1.4-Infrastructure and Works",'LB (PB1)'!$I$3:$I$201)</f>
        <v>0</v>
      </c>
      <c r="T19" s="207"/>
      <c r="U19" s="208"/>
      <c r="V19" s="201">
        <f t="shared" si="0"/>
        <v>0</v>
      </c>
      <c r="W19" s="202"/>
      <c r="X19" s="202"/>
    </row>
    <row r="20" spans="1:24">
      <c r="A20" s="209" t="s">
        <v>47</v>
      </c>
      <c r="B20" s="209" t="s">
        <v>47</v>
      </c>
      <c r="C20" s="209" t="s">
        <v>47</v>
      </c>
      <c r="D20" s="206">
        <f>SUMIF('LB (PB1)'!$J$3:$J$201,"D3.1.5-Staff Costs",'LB (PB1)'!$I$3:$I$201)</f>
        <v>0</v>
      </c>
      <c r="E20" s="207"/>
      <c r="F20" s="208"/>
      <c r="G20" s="206">
        <f>SUMIF('LB (PB1)'!$J$3:$J$201,"D3.1.5-Office and Administration",'LB (PB1)'!$I$3:$I$201)</f>
        <v>0</v>
      </c>
      <c r="H20" s="207"/>
      <c r="I20" s="208"/>
      <c r="J20" s="206">
        <f>SUMIF('LB (PB1)'!$J$3:$J$201,"D3.1.5-Travel and Accommodation",'LB (PB1)'!$I$3:$I$201)</f>
        <v>0</v>
      </c>
      <c r="K20" s="207"/>
      <c r="L20" s="208"/>
      <c r="M20" s="206">
        <f>SUMIF('LB (PB1)'!$J$3:$J$201,"D3.1.5-External Expertise and Services",'LB (PB1)'!$I$3:$I$201)</f>
        <v>0</v>
      </c>
      <c r="N20" s="207"/>
      <c r="O20" s="208"/>
      <c r="P20" s="206">
        <f>SUMIF('LB (PB1)'!$J$3:$J$201,"D3.1.5-Equipment",'LB (PB1)'!$I$3:$I$201)</f>
        <v>0</v>
      </c>
      <c r="Q20" s="207"/>
      <c r="R20" s="208"/>
      <c r="S20" s="206">
        <f>SUMIF('LB (PB1)'!$J$3:$J$201,"D3.1.5-Infrastructure and Works",'LB (PB1)'!$I$3:$I$201)</f>
        <v>0</v>
      </c>
      <c r="T20" s="207"/>
      <c r="U20" s="208"/>
      <c r="V20" s="201">
        <f t="shared" si="0"/>
        <v>0</v>
      </c>
      <c r="W20" s="202"/>
      <c r="X20" s="202"/>
    </row>
    <row r="21" spans="1:24" ht="15" customHeight="1">
      <c r="A21" s="198" t="s">
        <v>419</v>
      </c>
      <c r="B21" s="198"/>
      <c r="C21" s="198" t="s">
        <v>418</v>
      </c>
      <c r="D21" s="203">
        <f>SUM(D22:D26)</f>
        <v>0</v>
      </c>
      <c r="E21" s="204"/>
      <c r="F21" s="205"/>
      <c r="G21" s="203">
        <f>SUM(G22:G26)</f>
        <v>0</v>
      </c>
      <c r="H21" s="204"/>
      <c r="I21" s="205"/>
      <c r="J21" s="203">
        <f>SUM(J22:J26)</f>
        <v>0</v>
      </c>
      <c r="K21" s="204"/>
      <c r="L21" s="205"/>
      <c r="M21" s="203">
        <f>SUM(M22:M26)</f>
        <v>0</v>
      </c>
      <c r="N21" s="204"/>
      <c r="O21" s="205"/>
      <c r="P21" s="203">
        <f>SUM(P22:P26)</f>
        <v>0</v>
      </c>
      <c r="Q21" s="204"/>
      <c r="R21" s="205"/>
      <c r="S21" s="203">
        <f>SUM(S22:S26)</f>
        <v>0</v>
      </c>
      <c r="T21" s="204"/>
      <c r="U21" s="205"/>
      <c r="V21" s="199">
        <f t="shared" si="0"/>
        <v>0</v>
      </c>
      <c r="W21" s="200"/>
      <c r="X21" s="200"/>
    </row>
    <row r="22" spans="1:24">
      <c r="A22" s="209" t="s">
        <v>48</v>
      </c>
      <c r="B22" s="209" t="s">
        <v>48</v>
      </c>
      <c r="C22" s="209" t="s">
        <v>48</v>
      </c>
      <c r="D22" s="206">
        <f>SUMIF('LB (PB1)'!$J$3:$J$201,"D4.1.1-Staff Costs",'LB (PB1)'!$I$3:$I$201)</f>
        <v>0</v>
      </c>
      <c r="E22" s="207"/>
      <c r="F22" s="208"/>
      <c r="G22" s="206">
        <f>SUMIF('LB (PB1)'!$J$3:$J$201,"D4.1.1-Office and Administration",'LB (PB1)'!$I$3:$I$201)</f>
        <v>0</v>
      </c>
      <c r="H22" s="207"/>
      <c r="I22" s="208"/>
      <c r="J22" s="206">
        <f>SUMIF('LB (PB1)'!$J$3:$J$201,"D4.1.1-Travel and Accommodation",'LB (PB1)'!$I$3:$I$201)</f>
        <v>0</v>
      </c>
      <c r="K22" s="207"/>
      <c r="L22" s="208"/>
      <c r="M22" s="206">
        <f>SUMIF('LB (PB1)'!$J$3:$J$201,"D4.1.1-External Expertise and Services",'LB (PB1)'!$I$3:$I$201)</f>
        <v>0</v>
      </c>
      <c r="N22" s="207"/>
      <c r="O22" s="208"/>
      <c r="P22" s="206">
        <f>SUMIF('LB (PB1)'!$J$3:$J$201,"D4.1.1-Equipment",'LB (PB1)'!$I$3:$I$201)</f>
        <v>0</v>
      </c>
      <c r="Q22" s="207"/>
      <c r="R22" s="208"/>
      <c r="S22" s="206">
        <f>SUMIF('LB (PB1)'!$J$3:$J$201,"D4.1.1-Infrastructure and Works",'LB (PB1)'!$I$3:$I$201)</f>
        <v>0</v>
      </c>
      <c r="T22" s="207"/>
      <c r="U22" s="208"/>
      <c r="V22" s="201">
        <f t="shared" si="0"/>
        <v>0</v>
      </c>
      <c r="W22" s="202"/>
      <c r="X22" s="202"/>
    </row>
    <row r="23" spans="1:24">
      <c r="A23" s="209" t="s">
        <v>49</v>
      </c>
      <c r="B23" s="209" t="s">
        <v>49</v>
      </c>
      <c r="C23" s="209" t="s">
        <v>49</v>
      </c>
      <c r="D23" s="206">
        <f>SUMIF('LB (PB1)'!$J$3:$J$201,"D4.1.2-Staff Costs",'LB (PB1)'!$I$3:$I$201)</f>
        <v>0</v>
      </c>
      <c r="E23" s="207"/>
      <c r="F23" s="208"/>
      <c r="G23" s="206">
        <f>SUMIF('LB (PB1)'!$J$3:$J$201,"D4.1.2-Office and Administration",'LB (PB1)'!$I$3:$I$201)</f>
        <v>0</v>
      </c>
      <c r="H23" s="207"/>
      <c r="I23" s="208"/>
      <c r="J23" s="206">
        <f>SUMIF('LB (PB1)'!$J$3:$J$201,"D4.1.2-Travel and Accommodation",'LB (PB1)'!$I$3:$I$201)</f>
        <v>0</v>
      </c>
      <c r="K23" s="207"/>
      <c r="L23" s="208"/>
      <c r="M23" s="206">
        <f>SUMIF('LB (PB1)'!$J$3:$J$201,"D4.1.2-External Expertise and Services",'LB (PB1)'!$I$3:$I$201)</f>
        <v>0</v>
      </c>
      <c r="N23" s="207"/>
      <c r="O23" s="208"/>
      <c r="P23" s="206">
        <f>SUMIF('LB (PB1)'!$J$3:$J$201,"D4.1.2-Equipment",'LB (PB1)'!$I$3:$I$201)</f>
        <v>0</v>
      </c>
      <c r="Q23" s="207"/>
      <c r="R23" s="208"/>
      <c r="S23" s="206">
        <f>SUMIF('LB (PB1)'!$J$3:$J$201,"D4.1.2-Infrastructure and Works",'LB (PB1)'!$I$3:$I$201)</f>
        <v>0</v>
      </c>
      <c r="T23" s="207"/>
      <c r="U23" s="208"/>
      <c r="V23" s="201">
        <f t="shared" si="0"/>
        <v>0</v>
      </c>
      <c r="W23" s="202"/>
      <c r="X23" s="202"/>
    </row>
    <row r="24" spans="1:24">
      <c r="A24" s="209" t="s">
        <v>50</v>
      </c>
      <c r="B24" s="209" t="s">
        <v>50</v>
      </c>
      <c r="C24" s="209" t="s">
        <v>50</v>
      </c>
      <c r="D24" s="206">
        <f>SUMIF('LB (PB1)'!$J$3:$J$201,"D4.1.3-Staff Costs",'LB (PB1)'!$I$3:$I$201)</f>
        <v>0</v>
      </c>
      <c r="E24" s="207"/>
      <c r="F24" s="208"/>
      <c r="G24" s="206">
        <f>SUMIF('LB (PB1)'!$J$3:$J$201,"D4.1.3-Office and Administration",'LB (PB1)'!$I$3:$I$201)</f>
        <v>0</v>
      </c>
      <c r="H24" s="207"/>
      <c r="I24" s="208"/>
      <c r="J24" s="206">
        <f>SUMIF('LB (PB1)'!$J$3:$J$201,"D4.1.3-Travel and Accommodation",'LB (PB1)'!$I$3:$I$201)</f>
        <v>0</v>
      </c>
      <c r="K24" s="207"/>
      <c r="L24" s="208"/>
      <c r="M24" s="206">
        <f>SUMIF('LB (PB1)'!$J$3:$J$201,"D4.1.3-External Expertise and Services",'LB (PB1)'!$I$3:$I$201)</f>
        <v>0</v>
      </c>
      <c r="N24" s="207"/>
      <c r="O24" s="208"/>
      <c r="P24" s="206">
        <f>SUMIF('LB (PB1)'!$J$3:$J$201,"D4.1.3-Equipment",'LB (PB1)'!$I$3:$I$201)</f>
        <v>0</v>
      </c>
      <c r="Q24" s="207"/>
      <c r="R24" s="208"/>
      <c r="S24" s="206">
        <f>SUMIF('LB (PB1)'!$J$3:$J$201,"D4.1.3-Infrastructure and Works",'LB (PB1)'!$I$3:$I$201)</f>
        <v>0</v>
      </c>
      <c r="T24" s="207"/>
      <c r="U24" s="208"/>
      <c r="V24" s="201">
        <f t="shared" si="0"/>
        <v>0</v>
      </c>
      <c r="W24" s="202"/>
      <c r="X24" s="202"/>
    </row>
    <row r="25" spans="1:24">
      <c r="A25" s="209" t="s">
        <v>51</v>
      </c>
      <c r="B25" s="209" t="s">
        <v>51</v>
      </c>
      <c r="C25" s="209" t="s">
        <v>51</v>
      </c>
      <c r="D25" s="206">
        <f>SUMIF('LB (PB1)'!$J$3:$J$201,"D4.1.4-Staff Costs",'LB (PB1)'!$I$3:$I$201)</f>
        <v>0</v>
      </c>
      <c r="E25" s="207"/>
      <c r="F25" s="208"/>
      <c r="G25" s="206">
        <f>SUMIF('LB (PB1)'!$J$3:$J$201,"D4.1.4-Office and Administration",'LB (PB1)'!$I$3:$I$201)</f>
        <v>0</v>
      </c>
      <c r="H25" s="207"/>
      <c r="I25" s="208"/>
      <c r="J25" s="206">
        <f>SUMIF('LB (PB1)'!$J$3:$J$201,"D4.1.4-Travel and Accommodation",'LB (PB1)'!$I$3:$I$201)</f>
        <v>0</v>
      </c>
      <c r="K25" s="207"/>
      <c r="L25" s="208"/>
      <c r="M25" s="206">
        <f>SUMIF('LB (PB1)'!$J$3:$J$201,"D4.1.4-External Expertise and Services",'LB (PB1)'!$I$3:$I$201)</f>
        <v>0</v>
      </c>
      <c r="N25" s="207"/>
      <c r="O25" s="208"/>
      <c r="P25" s="206">
        <f>SUMIF('LB (PB1)'!$J$3:$J$201,"D4.1.4-Equipment",'LB (PB1)'!$I$3:$I$201)</f>
        <v>0</v>
      </c>
      <c r="Q25" s="207"/>
      <c r="R25" s="208"/>
      <c r="S25" s="206">
        <f>SUMIF('LB (PB1)'!$J$3:$J$201,"D4.1.4-Infrastructure and Works",'LB (PB1)'!$I$3:$I$201)</f>
        <v>0</v>
      </c>
      <c r="T25" s="207"/>
      <c r="U25" s="208"/>
      <c r="V25" s="201">
        <f t="shared" si="0"/>
        <v>0</v>
      </c>
      <c r="W25" s="202"/>
      <c r="X25" s="202"/>
    </row>
    <row r="26" spans="1:24">
      <c r="A26" s="209" t="s">
        <v>52</v>
      </c>
      <c r="B26" s="209" t="s">
        <v>52</v>
      </c>
      <c r="C26" s="209" t="s">
        <v>52</v>
      </c>
      <c r="D26" s="206">
        <f>SUMIF('LB (PB1)'!$J$3:$J$201,"D4.1.5-Staff Costs",'LB (PB1)'!$I$3:$I$201)</f>
        <v>0</v>
      </c>
      <c r="E26" s="207"/>
      <c r="F26" s="208"/>
      <c r="G26" s="206">
        <f>SUMIF('LB (PB1)'!$J$3:$J$201,"D4.1.5-Office and Administration",'LB (PB1)'!$I$3:$I$201)</f>
        <v>0</v>
      </c>
      <c r="H26" s="207"/>
      <c r="I26" s="208"/>
      <c r="J26" s="206">
        <f>SUMIF('LB (PB1)'!$J$3:$J$201,"D4.1.5-Travel and Accommodation",'LB (PB1)'!$I$3:$I$201)</f>
        <v>0</v>
      </c>
      <c r="K26" s="207"/>
      <c r="L26" s="208"/>
      <c r="M26" s="206">
        <f>SUMIF('LB (PB1)'!$J$3:$J$201,"D4.1.5-External Expertise and Services",'LB (PB1)'!$I$3:$I$201)</f>
        <v>0</v>
      </c>
      <c r="N26" s="207"/>
      <c r="O26" s="208"/>
      <c r="P26" s="206">
        <f>SUMIF('LB (PB1)'!$J$3:$J$201,"D4.1.5-Equipment",'LB (PB1)'!$I$3:$I$201)</f>
        <v>0</v>
      </c>
      <c r="Q26" s="207"/>
      <c r="R26" s="208"/>
      <c r="S26" s="206">
        <f>SUMIF('LB (PB1)'!$J$3:$J$201,"D4.1.5-Infrastructure and Works",'LB (PB1)'!$I$3:$I$201)</f>
        <v>0</v>
      </c>
      <c r="T26" s="207"/>
      <c r="U26" s="208"/>
      <c r="V26" s="201">
        <f t="shared" si="0"/>
        <v>0</v>
      </c>
      <c r="W26" s="202"/>
      <c r="X26" s="202"/>
    </row>
    <row r="27" spans="1:24" ht="15" customHeight="1">
      <c r="A27" s="198" t="s">
        <v>420</v>
      </c>
      <c r="B27" s="198"/>
      <c r="C27" s="198" t="s">
        <v>418</v>
      </c>
      <c r="D27" s="203">
        <f>SUM(D28:D32)</f>
        <v>0</v>
      </c>
      <c r="E27" s="204"/>
      <c r="F27" s="205"/>
      <c r="G27" s="203">
        <f>SUM(G28:G32)</f>
        <v>0</v>
      </c>
      <c r="H27" s="204"/>
      <c r="I27" s="205"/>
      <c r="J27" s="203">
        <f>SUM(J28:J32)</f>
        <v>0</v>
      </c>
      <c r="K27" s="204"/>
      <c r="L27" s="205"/>
      <c r="M27" s="203">
        <f>SUM(M28:M32)</f>
        <v>0</v>
      </c>
      <c r="N27" s="204"/>
      <c r="O27" s="205"/>
      <c r="P27" s="203">
        <f>SUM(P28:P32)</f>
        <v>0</v>
      </c>
      <c r="Q27" s="204"/>
      <c r="R27" s="205"/>
      <c r="S27" s="203">
        <f>SUM(S28:S32)</f>
        <v>0</v>
      </c>
      <c r="T27" s="204"/>
      <c r="U27" s="205"/>
      <c r="V27" s="199">
        <f t="shared" si="0"/>
        <v>0</v>
      </c>
      <c r="W27" s="200"/>
      <c r="X27" s="200"/>
    </row>
    <row r="28" spans="1:24">
      <c r="A28" s="209" t="s">
        <v>53</v>
      </c>
      <c r="B28" s="209" t="s">
        <v>53</v>
      </c>
      <c r="C28" s="209" t="s">
        <v>53</v>
      </c>
      <c r="D28" s="206">
        <f>SUMIF('LB (PB1)'!$J$3:$J$201,"D5.1.1-Staff Costs",'LB (PB1)'!$I$3:$I$201)</f>
        <v>0</v>
      </c>
      <c r="E28" s="207"/>
      <c r="F28" s="208"/>
      <c r="G28" s="206">
        <f>SUMIF('LB (PB1)'!$J$3:$J$201,"D5.1.1-Office and Administration",'LB (PB1)'!$I$3:$I$201)</f>
        <v>0</v>
      </c>
      <c r="H28" s="207"/>
      <c r="I28" s="208"/>
      <c r="J28" s="206">
        <f>SUMIF('LB (PB1)'!$J$3:$J$201,"D5.1.1-Travel and Accommodation",'LB (PB1)'!$I$3:$I$201)</f>
        <v>0</v>
      </c>
      <c r="K28" s="207"/>
      <c r="L28" s="208"/>
      <c r="M28" s="206">
        <f>SUMIF('LB (PB1)'!$J$3:$J$201,"D5.1.1-External Expertise and Services",'LB (PB1)'!$I$3:$I$201)</f>
        <v>0</v>
      </c>
      <c r="N28" s="207"/>
      <c r="O28" s="208"/>
      <c r="P28" s="206">
        <f>SUMIF('LB (PB1)'!$J$3:$J$201,"D5.1.1-Equipment",'LB (PB1)'!$I$3:$I$201)</f>
        <v>0</v>
      </c>
      <c r="Q28" s="207"/>
      <c r="R28" s="208"/>
      <c r="S28" s="206">
        <f>SUMIF('LB (PB1)'!$J$3:$J$201,"D5.1.1-Infrastructure and Works",'LB (PB1)'!$I$3:$I$201)</f>
        <v>0</v>
      </c>
      <c r="T28" s="207"/>
      <c r="U28" s="208"/>
      <c r="V28" s="201">
        <f t="shared" si="0"/>
        <v>0</v>
      </c>
      <c r="W28" s="202"/>
      <c r="X28" s="202"/>
    </row>
    <row r="29" spans="1:24">
      <c r="A29" s="209" t="s">
        <v>54</v>
      </c>
      <c r="B29" s="209" t="s">
        <v>54</v>
      </c>
      <c r="C29" s="209" t="s">
        <v>54</v>
      </c>
      <c r="D29" s="206">
        <f>SUMIF('LB (PB1)'!$J$3:$J$201,"D5.1.2-Staff Costs",'LB (PB1)'!$I$3:$I$201)</f>
        <v>0</v>
      </c>
      <c r="E29" s="207"/>
      <c r="F29" s="208"/>
      <c r="G29" s="206">
        <f>SUMIF('LB (PB1)'!$J$3:$J$201,"D5.1.2-Office and Administration",'LB (PB1)'!$I$3:$I$201)</f>
        <v>0</v>
      </c>
      <c r="H29" s="207"/>
      <c r="I29" s="208"/>
      <c r="J29" s="206">
        <f>SUMIF('LB (PB1)'!$J$3:$J$201,"D5.1.2-Travel and Accommodation",'LB (PB1)'!$I$3:$I$201)</f>
        <v>0</v>
      </c>
      <c r="K29" s="207"/>
      <c r="L29" s="208"/>
      <c r="M29" s="206">
        <f>SUMIF('LB (PB1)'!$J$3:$J$201,"D5.1.2-External Expertise and Services",'LB (PB1)'!$I$3:$I$201)</f>
        <v>0</v>
      </c>
      <c r="N29" s="207"/>
      <c r="O29" s="208"/>
      <c r="P29" s="206">
        <f>SUMIF('LB (PB1)'!$J$3:$J$201,"D5.1.2-Equipment",'LB (PB1)'!$I$3:$I$201)</f>
        <v>0</v>
      </c>
      <c r="Q29" s="207"/>
      <c r="R29" s="208"/>
      <c r="S29" s="206">
        <f>SUMIF('LB (PB1)'!$J$3:$J$201,"D5.1.2-Infrastructure and Works",'LB (PB1)'!$I$3:$I$201)</f>
        <v>0</v>
      </c>
      <c r="T29" s="207"/>
      <c r="U29" s="208"/>
      <c r="V29" s="201">
        <f t="shared" si="0"/>
        <v>0</v>
      </c>
      <c r="W29" s="202"/>
      <c r="X29" s="202"/>
    </row>
    <row r="30" spans="1:24">
      <c r="A30" s="209" t="s">
        <v>55</v>
      </c>
      <c r="B30" s="209" t="s">
        <v>55</v>
      </c>
      <c r="C30" s="209" t="s">
        <v>55</v>
      </c>
      <c r="D30" s="206">
        <f>SUMIF('LB (PB1)'!$J$3:$J$201,"D5.1.3-Staff Costs",'LB (PB1)'!$I$3:$I$201)</f>
        <v>0</v>
      </c>
      <c r="E30" s="207"/>
      <c r="F30" s="208"/>
      <c r="G30" s="206">
        <f>SUMIF('LB (PB1)'!$J$3:$J$201,"D5.1.3-Office and Administration",'LB (PB1)'!$I$3:$I$201)</f>
        <v>0</v>
      </c>
      <c r="H30" s="207"/>
      <c r="I30" s="208"/>
      <c r="J30" s="206">
        <f>SUMIF('LB (PB1)'!$J$3:$J$201,"D5.1.3-Travel and Accommodation",'LB (PB1)'!$I$3:$I$201)</f>
        <v>0</v>
      </c>
      <c r="K30" s="207"/>
      <c r="L30" s="208"/>
      <c r="M30" s="206">
        <f>SUMIF('LB (PB1)'!$J$3:$J$201,"D5.1.3-External Expertise and Services",'LB (PB1)'!$I$3:$I$201)</f>
        <v>0</v>
      </c>
      <c r="N30" s="207"/>
      <c r="O30" s="208"/>
      <c r="P30" s="206">
        <f>SUMIF('LB (PB1)'!$J$3:$J$201,"D5.1.3-Equipment",'LB (PB1)'!$I$3:$I$201)</f>
        <v>0</v>
      </c>
      <c r="Q30" s="207"/>
      <c r="R30" s="208"/>
      <c r="S30" s="206">
        <f>SUMIF('LB (PB1)'!$J$3:$J$201,"D5.1.3-Infrastructure and Works",'LB (PB1)'!$I$3:$I$201)</f>
        <v>0</v>
      </c>
      <c r="T30" s="207"/>
      <c r="U30" s="208"/>
      <c r="V30" s="201">
        <f t="shared" si="0"/>
        <v>0</v>
      </c>
      <c r="W30" s="202"/>
      <c r="X30" s="202"/>
    </row>
    <row r="31" spans="1:24">
      <c r="A31" s="209" t="s">
        <v>56</v>
      </c>
      <c r="B31" s="209" t="s">
        <v>56</v>
      </c>
      <c r="C31" s="209" t="s">
        <v>56</v>
      </c>
      <c r="D31" s="206">
        <f>SUMIF('LB (PB1)'!$J$3:$J$201,"D5.1.4-Staff Costs",'LB (PB1)'!$I$3:$I$201)</f>
        <v>0</v>
      </c>
      <c r="E31" s="207"/>
      <c r="F31" s="208"/>
      <c r="G31" s="206">
        <f>SUMIF('LB (PB1)'!$J$3:$J$201,"D5.1.4-Office and Administration",'LB (PB1)'!$I$3:$I$201)</f>
        <v>0</v>
      </c>
      <c r="H31" s="207"/>
      <c r="I31" s="208"/>
      <c r="J31" s="206">
        <f>SUMIF('LB (PB1)'!$J$3:$J$201,"D5.1.4-Travel and Accommodation",'LB (PB1)'!$I$3:$I$201)</f>
        <v>0</v>
      </c>
      <c r="K31" s="207"/>
      <c r="L31" s="208"/>
      <c r="M31" s="206">
        <f>SUMIF('LB (PB1)'!$J$3:$J$201,"D5.1.4-External Expertise and Services",'LB (PB1)'!$I$3:$I$201)</f>
        <v>0</v>
      </c>
      <c r="N31" s="207"/>
      <c r="O31" s="208"/>
      <c r="P31" s="206">
        <f>SUMIF('LB (PB1)'!$J$3:$J$201,"D5.1.4-Equipment",'LB (PB1)'!$I$3:$I$201)</f>
        <v>0</v>
      </c>
      <c r="Q31" s="207"/>
      <c r="R31" s="208"/>
      <c r="S31" s="206">
        <f>SUMIF('LB (PB1)'!$J$3:$J$201,"D5.1.4-Infrastructure and Works",'LB (PB1)'!$I$3:$I$201)</f>
        <v>0</v>
      </c>
      <c r="T31" s="207"/>
      <c r="U31" s="208"/>
      <c r="V31" s="201">
        <f t="shared" si="0"/>
        <v>0</v>
      </c>
      <c r="W31" s="202"/>
      <c r="X31" s="202"/>
    </row>
    <row r="32" spans="1:24">
      <c r="A32" s="209" t="s">
        <v>57</v>
      </c>
      <c r="B32" s="209" t="s">
        <v>57</v>
      </c>
      <c r="C32" s="209" t="s">
        <v>57</v>
      </c>
      <c r="D32" s="206">
        <f>SUMIF('LB (PB1)'!$J$3:$J$201,"D5.1.5-Staff Costs",'LB (PB1)'!$I$3:$I$201)</f>
        <v>0</v>
      </c>
      <c r="E32" s="207"/>
      <c r="F32" s="208"/>
      <c r="G32" s="206">
        <f>SUMIF('LB (PB1)'!$J$3:$J$201,"D5.1.5-Office and Administration",'LB (PB1)'!$I$3:$I$201)</f>
        <v>0</v>
      </c>
      <c r="H32" s="207"/>
      <c r="I32" s="208"/>
      <c r="J32" s="206">
        <f>SUMIF('LB (PB1)'!$J$3:$J$201,"D5.1.5-Travel and Accommodation",'LB (PB1)'!$I$3:$I$201)</f>
        <v>0</v>
      </c>
      <c r="K32" s="207"/>
      <c r="L32" s="208"/>
      <c r="M32" s="206">
        <f>SUMIF('LB (PB1)'!$J$3:$J$201,"D5.1.5-External Expertise and Services",'LB (PB1)'!$I$3:$I$201)</f>
        <v>0</v>
      </c>
      <c r="N32" s="207"/>
      <c r="O32" s="208"/>
      <c r="P32" s="206">
        <f>SUMIF('LB (PB1)'!$J$3:$J$201,"D5.1.5-Equipment",'LB (PB1)'!$I$3:$I$201)</f>
        <v>0</v>
      </c>
      <c r="Q32" s="207"/>
      <c r="R32" s="208"/>
      <c r="S32" s="206">
        <f>SUMIF('LB (PB1)'!$J$3:$J$201,"D5.1.5-Infrastructure and Works",'LB (PB1)'!$I$3:$I$201)</f>
        <v>0</v>
      </c>
      <c r="T32" s="207"/>
      <c r="U32" s="208"/>
      <c r="V32" s="201">
        <f t="shared" si="0"/>
        <v>0</v>
      </c>
      <c r="W32" s="202"/>
      <c r="X32" s="202"/>
    </row>
    <row r="33" spans="1:24" ht="15" customHeight="1">
      <c r="A33" s="198" t="s">
        <v>421</v>
      </c>
      <c r="B33" s="198"/>
      <c r="C33" s="198" t="s">
        <v>418</v>
      </c>
      <c r="D33" s="203">
        <f>SUM(D34:D38)</f>
        <v>0</v>
      </c>
      <c r="E33" s="204"/>
      <c r="F33" s="205"/>
      <c r="G33" s="203">
        <f>SUM(G34:G38)</f>
        <v>0</v>
      </c>
      <c r="H33" s="204"/>
      <c r="I33" s="205"/>
      <c r="J33" s="203">
        <f>SUM(J34:J38)</f>
        <v>0</v>
      </c>
      <c r="K33" s="204"/>
      <c r="L33" s="205"/>
      <c r="M33" s="203">
        <f>SUM(M34:M38)</f>
        <v>0</v>
      </c>
      <c r="N33" s="204"/>
      <c r="O33" s="205"/>
      <c r="P33" s="203">
        <f>SUM(P34:P38)</f>
        <v>0</v>
      </c>
      <c r="Q33" s="204"/>
      <c r="R33" s="205"/>
      <c r="S33" s="203">
        <f>SUM(S34:S38)</f>
        <v>0</v>
      </c>
      <c r="T33" s="204"/>
      <c r="U33" s="205"/>
      <c r="V33" s="199">
        <f t="shared" si="0"/>
        <v>0</v>
      </c>
      <c r="W33" s="200"/>
      <c r="X33" s="200"/>
    </row>
    <row r="34" spans="1:24">
      <c r="A34" s="209" t="s">
        <v>58</v>
      </c>
      <c r="B34" s="209" t="s">
        <v>58</v>
      </c>
      <c r="C34" s="209" t="s">
        <v>58</v>
      </c>
      <c r="D34" s="206">
        <f>SUMIF('LB (PB1)'!$J$3:$J$201,"D6.1.1-Staff Costs",'LB (PB1)'!$I$3:$I$201)</f>
        <v>0</v>
      </c>
      <c r="E34" s="207"/>
      <c r="F34" s="208"/>
      <c r="G34" s="206">
        <f>SUMIF('LB (PB1)'!$J$3:$J$201,"D6.1.1-Office and Administration",'LB (PB1)'!$I$3:$I$201)</f>
        <v>0</v>
      </c>
      <c r="H34" s="207"/>
      <c r="I34" s="208"/>
      <c r="J34" s="206">
        <f>SUMIF('LB (PB1)'!$J$3:$J$201,"D6.1.1-Travel and Accommodation",'LB (PB1)'!$I$3:$I$201)</f>
        <v>0</v>
      </c>
      <c r="K34" s="207"/>
      <c r="L34" s="208"/>
      <c r="M34" s="206">
        <f>SUMIF('LB (PB1)'!$J$3:$J$201,"D6.1.1-External Expertise and Services",'LB (PB1)'!$I$3:$I$201)</f>
        <v>0</v>
      </c>
      <c r="N34" s="207"/>
      <c r="O34" s="208"/>
      <c r="P34" s="206">
        <f>SUMIF('LB (PB1)'!$J$3:$J$201,"D6.1.1-Equipment",'LB (PB1)'!$I$3:$I$201)</f>
        <v>0</v>
      </c>
      <c r="Q34" s="207"/>
      <c r="R34" s="208"/>
      <c r="S34" s="206">
        <f>SUMIF('LB (PB1)'!$J$3:$J$201,"D6.1.1-Infrastructure and Works",'LB (PB1)'!$I$3:$I$201)</f>
        <v>0</v>
      </c>
      <c r="T34" s="207"/>
      <c r="U34" s="208"/>
      <c r="V34" s="201">
        <f t="shared" si="0"/>
        <v>0</v>
      </c>
      <c r="W34" s="202"/>
      <c r="X34" s="202"/>
    </row>
    <row r="35" spans="1:24">
      <c r="A35" s="209" t="s">
        <v>59</v>
      </c>
      <c r="B35" s="209" t="s">
        <v>59</v>
      </c>
      <c r="C35" s="209" t="s">
        <v>59</v>
      </c>
      <c r="D35" s="206">
        <f>SUMIF('LB (PB1)'!$J$3:$J$201,"D6.1.2-Staff Costs",'LB (PB1)'!$I$3:$I$201)</f>
        <v>0</v>
      </c>
      <c r="E35" s="207"/>
      <c r="F35" s="208"/>
      <c r="G35" s="206">
        <f>SUMIF('LB (PB1)'!$J$3:$J$201,"D6.1.2-Office and Administration",'LB (PB1)'!$I$3:$I$201)</f>
        <v>0</v>
      </c>
      <c r="H35" s="207"/>
      <c r="I35" s="208"/>
      <c r="J35" s="206">
        <f>SUMIF('LB (PB1)'!$J$3:$J$201,"D6.1.2-Travel and Accommodation",'LB (PB1)'!$I$3:$I$201)</f>
        <v>0</v>
      </c>
      <c r="K35" s="207"/>
      <c r="L35" s="208"/>
      <c r="M35" s="206">
        <f>SUMIF('LB (PB1)'!$J$3:$J$201,"D6.1.2-External Expertise and Services",'LB (PB1)'!$I$3:$I$201)</f>
        <v>0</v>
      </c>
      <c r="N35" s="207"/>
      <c r="O35" s="208"/>
      <c r="P35" s="206">
        <f>SUMIF('LB (PB1)'!$J$3:$J$201,"D6.1.2-Equipment",'LB (PB1)'!$I$3:$I$201)</f>
        <v>0</v>
      </c>
      <c r="Q35" s="207"/>
      <c r="R35" s="208"/>
      <c r="S35" s="206">
        <f>SUMIF('LB (PB1)'!$J$3:$J$201,"D6.1.2-Infrastructure and Works",'LB (PB1)'!$I$3:$I$201)</f>
        <v>0</v>
      </c>
      <c r="T35" s="207"/>
      <c r="U35" s="208"/>
      <c r="V35" s="201">
        <f t="shared" si="0"/>
        <v>0</v>
      </c>
      <c r="W35" s="202"/>
      <c r="X35" s="202"/>
    </row>
    <row r="36" spans="1:24">
      <c r="A36" s="209" t="s">
        <v>60</v>
      </c>
      <c r="B36" s="209" t="s">
        <v>60</v>
      </c>
      <c r="C36" s="209" t="s">
        <v>60</v>
      </c>
      <c r="D36" s="206">
        <f>SUMIF('LB (PB1)'!$J$3:$J$201,"D6.1.3-Staff Costs",'LB (PB1)'!$I$3:$I$201)</f>
        <v>0</v>
      </c>
      <c r="E36" s="207"/>
      <c r="F36" s="208"/>
      <c r="G36" s="206">
        <f>SUMIF('LB (PB1)'!$J$3:$J$201,"D6.1.3-Office and Administration",'LB (PB1)'!$I$3:$I$201)</f>
        <v>0</v>
      </c>
      <c r="H36" s="207"/>
      <c r="I36" s="208"/>
      <c r="J36" s="206">
        <f>SUMIF('LB (PB1)'!$J$3:$J$201,"D6.1.3-Travel and Accommodation",'LB (PB1)'!$I$3:$I$201)</f>
        <v>0</v>
      </c>
      <c r="K36" s="207"/>
      <c r="L36" s="208"/>
      <c r="M36" s="206">
        <f>SUMIF('LB (PB1)'!$J$3:$J$201,"D6.1.3-External Expertise and Services",'LB (PB1)'!$I$3:$I$201)</f>
        <v>0</v>
      </c>
      <c r="N36" s="207"/>
      <c r="O36" s="208"/>
      <c r="P36" s="206">
        <f>SUMIF('LB (PB1)'!$J$3:$J$201,"D6.1.3-Equipment",'LB (PB1)'!$I$3:$I$201)</f>
        <v>0</v>
      </c>
      <c r="Q36" s="207"/>
      <c r="R36" s="208"/>
      <c r="S36" s="206">
        <f>SUMIF('LB (PB1)'!$J$3:$J$201,"D6.1.3-Infrastructure and Works",'LB (PB1)'!$I$3:$I$201)</f>
        <v>0</v>
      </c>
      <c r="T36" s="207"/>
      <c r="U36" s="208"/>
      <c r="V36" s="201">
        <f t="shared" si="0"/>
        <v>0</v>
      </c>
      <c r="W36" s="202"/>
      <c r="X36" s="202"/>
    </row>
    <row r="37" spans="1:24">
      <c r="A37" s="209" t="s">
        <v>61</v>
      </c>
      <c r="B37" s="209" t="s">
        <v>61</v>
      </c>
      <c r="C37" s="209" t="s">
        <v>61</v>
      </c>
      <c r="D37" s="206">
        <f>SUMIF('LB (PB1)'!$J$3:$J$201,"D6.1.4-Staff Costs",'LB (PB1)'!$I$3:$I$201)</f>
        <v>0</v>
      </c>
      <c r="E37" s="207"/>
      <c r="F37" s="208"/>
      <c r="G37" s="206">
        <f>SUMIF('LB (PB1)'!$J$3:$J$201,"D6.1.4-Office and Administration",'LB (PB1)'!$I$3:$I$201)</f>
        <v>0</v>
      </c>
      <c r="H37" s="207"/>
      <c r="I37" s="208"/>
      <c r="J37" s="206">
        <f>SUMIF('LB (PB1)'!$J$3:$J$201,"D6.1.4-Travel and Accommodation",'LB (PB1)'!$I$3:$I$201)</f>
        <v>0</v>
      </c>
      <c r="K37" s="207"/>
      <c r="L37" s="208"/>
      <c r="M37" s="206">
        <f>SUMIF('LB (PB1)'!$J$3:$J$201,"D6.1.4-External Expertise and Services",'LB (PB1)'!$I$3:$I$201)</f>
        <v>0</v>
      </c>
      <c r="N37" s="207"/>
      <c r="O37" s="208"/>
      <c r="P37" s="206">
        <f>SUMIF('LB (PB1)'!$J$3:$J$201,"D6.1.4-Equipment",'LB (PB1)'!$I$3:$I$201)</f>
        <v>0</v>
      </c>
      <c r="Q37" s="207"/>
      <c r="R37" s="208"/>
      <c r="S37" s="206">
        <f>SUMIF('LB (PB1)'!$J$3:$J$201,"D6.1.4-Infrastructure and Works",'LB (PB1)'!$I$3:$I$201)</f>
        <v>0</v>
      </c>
      <c r="T37" s="207"/>
      <c r="U37" s="208"/>
      <c r="V37" s="201">
        <f t="shared" si="0"/>
        <v>0</v>
      </c>
      <c r="W37" s="202"/>
      <c r="X37" s="202"/>
    </row>
    <row r="38" spans="1:24">
      <c r="A38" s="209" t="s">
        <v>62</v>
      </c>
      <c r="B38" s="209"/>
      <c r="C38" s="209"/>
      <c r="D38" s="206">
        <f>SUMIF('LB (PB1)'!$J$3:$J$201,"D6.1.5-Staff Costs",'LB (PB1)'!$I$3:$I$201)</f>
        <v>0</v>
      </c>
      <c r="E38" s="207"/>
      <c r="F38" s="208"/>
      <c r="G38" s="206">
        <f>SUMIF('LB (PB1)'!$J$3:$J$201,"D6.1.5-Office and Administration",'LB (PB1)'!$I$3:$I$201)</f>
        <v>0</v>
      </c>
      <c r="H38" s="207"/>
      <c r="I38" s="208"/>
      <c r="J38" s="206">
        <f>SUMIF('LB (PB1)'!$J$3:$J$201,"D6.1.5-Travel and Accommodation",'LB (PB1)'!$I$3:$I$201)</f>
        <v>0</v>
      </c>
      <c r="K38" s="207"/>
      <c r="L38" s="208"/>
      <c r="M38" s="206">
        <f>SUMIF('LB (PB1)'!$J$3:$J$201,"D6.1.5-External Expertise and Services",'LB (PB1)'!$I$3:$I$201)</f>
        <v>0</v>
      </c>
      <c r="N38" s="207"/>
      <c r="O38" s="208"/>
      <c r="P38" s="206">
        <f>SUMIF('LB (PB1)'!$J$3:$J$201,"D6.1.5-Equipment",'LB (PB1)'!$I$3:$I$201)</f>
        <v>0</v>
      </c>
      <c r="Q38" s="207"/>
      <c r="R38" s="208"/>
      <c r="S38" s="206">
        <f>SUMIF('LB (PB1)'!$J$3:$J$201,"D6.1.5-Infrastructure and Works",'LB (PB1)'!$I$3:$I$201)</f>
        <v>0</v>
      </c>
      <c r="T38" s="207"/>
      <c r="U38" s="208"/>
      <c r="V38" s="201">
        <f t="shared" si="0"/>
        <v>0</v>
      </c>
      <c r="W38" s="202"/>
      <c r="X38" s="202"/>
    </row>
    <row r="39" spans="1:24">
      <c r="A39" s="227" t="s">
        <v>423</v>
      </c>
      <c r="B39" s="227"/>
      <c r="C39" s="227"/>
      <c r="D39" s="224">
        <f>D33+D27+D21+D15+D9+D3</f>
        <v>0</v>
      </c>
      <c r="E39" s="225"/>
      <c r="F39" s="226"/>
      <c r="G39" s="224">
        <f>G33+G27+G21+G15+G9+G3</f>
        <v>0</v>
      </c>
      <c r="H39" s="225"/>
      <c r="I39" s="226"/>
      <c r="J39" s="224">
        <f>J33+J27+J21+J15+J9+J3</f>
        <v>0</v>
      </c>
      <c r="K39" s="225"/>
      <c r="L39" s="226"/>
      <c r="M39" s="224">
        <f>M33+M27+M21+M15+M9+M3</f>
        <v>0</v>
      </c>
      <c r="N39" s="225"/>
      <c r="O39" s="226"/>
      <c r="P39" s="224">
        <f>P33+P27+P21+P15+P9+P3</f>
        <v>0</v>
      </c>
      <c r="Q39" s="225"/>
      <c r="R39" s="226"/>
      <c r="S39" s="224">
        <f>S33+S27+S21+S15+S9+S3</f>
        <v>0</v>
      </c>
      <c r="T39" s="225"/>
      <c r="U39" s="226"/>
      <c r="V39" s="222">
        <f t="shared" si="0"/>
        <v>0</v>
      </c>
      <c r="W39" s="223"/>
      <c r="X39" s="201"/>
    </row>
    <row r="40" spans="1:24"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8"/>
      <c r="W40" s="48"/>
      <c r="X40" s="48"/>
    </row>
    <row r="41" spans="1:24" ht="15" customHeight="1">
      <c r="A41" s="211" t="s">
        <v>496</v>
      </c>
      <c r="B41" s="211"/>
      <c r="C41" s="211"/>
      <c r="D41" s="214" t="s">
        <v>23</v>
      </c>
      <c r="E41" s="215"/>
      <c r="F41" s="216"/>
      <c r="G41" s="214" t="s">
        <v>24</v>
      </c>
      <c r="H41" s="215"/>
      <c r="I41" s="216"/>
      <c r="J41" s="214" t="s">
        <v>474</v>
      </c>
      <c r="K41" s="215"/>
      <c r="L41" s="216"/>
      <c r="M41" s="214" t="s">
        <v>25</v>
      </c>
      <c r="N41" s="215"/>
      <c r="O41" s="216"/>
      <c r="P41" s="214" t="s">
        <v>26</v>
      </c>
      <c r="Q41" s="215"/>
      <c r="R41" s="216"/>
      <c r="S41" s="214" t="s">
        <v>406</v>
      </c>
      <c r="T41" s="215"/>
      <c r="U41" s="216"/>
      <c r="V41" s="220" t="s">
        <v>423</v>
      </c>
      <c r="W41" s="220"/>
      <c r="X41" s="220"/>
    </row>
    <row r="42" spans="1:24" ht="48.75" customHeight="1">
      <c r="A42" s="212">
        <f>'Cover page'!C23</f>
        <v>0</v>
      </c>
      <c r="B42" s="212"/>
      <c r="C42" s="212"/>
      <c r="D42" s="217"/>
      <c r="E42" s="218"/>
      <c r="F42" s="219"/>
      <c r="G42" s="217"/>
      <c r="H42" s="218"/>
      <c r="I42" s="219"/>
      <c r="J42" s="217"/>
      <c r="K42" s="218"/>
      <c r="L42" s="219"/>
      <c r="M42" s="217"/>
      <c r="N42" s="218"/>
      <c r="O42" s="219"/>
      <c r="P42" s="217"/>
      <c r="Q42" s="218"/>
      <c r="R42" s="219"/>
      <c r="S42" s="217"/>
      <c r="T42" s="218"/>
      <c r="U42" s="219"/>
      <c r="V42" s="220"/>
      <c r="W42" s="220"/>
      <c r="X42" s="220"/>
    </row>
    <row r="43" spans="1:24">
      <c r="A43" s="213" t="s">
        <v>415</v>
      </c>
      <c r="B43" s="213"/>
      <c r="C43" s="213"/>
      <c r="D43" s="203">
        <f>SUM(D44:D48)</f>
        <v>0</v>
      </c>
      <c r="E43" s="204"/>
      <c r="F43" s="205"/>
      <c r="G43" s="203">
        <f>SUM(G44:G48)</f>
        <v>0</v>
      </c>
      <c r="H43" s="204"/>
      <c r="I43" s="205"/>
      <c r="J43" s="203">
        <f>SUM(J44:J48)</f>
        <v>0</v>
      </c>
      <c r="K43" s="204"/>
      <c r="L43" s="205"/>
      <c r="M43" s="203">
        <f>SUM(M44:M48)</f>
        <v>0</v>
      </c>
      <c r="N43" s="204"/>
      <c r="O43" s="205"/>
      <c r="P43" s="203">
        <f>SUM(P44:P48)</f>
        <v>0</v>
      </c>
      <c r="Q43" s="204"/>
      <c r="R43" s="205"/>
      <c r="S43" s="203">
        <f>SUM(S44:S48)</f>
        <v>0</v>
      </c>
      <c r="T43" s="204"/>
      <c r="U43" s="205"/>
      <c r="V43" s="199">
        <f t="shared" ref="V43:V79" si="1">SUM(D43:S43)</f>
        <v>0</v>
      </c>
      <c r="W43" s="200"/>
      <c r="X43" s="200"/>
    </row>
    <row r="44" spans="1:24">
      <c r="A44" s="210" t="s">
        <v>74</v>
      </c>
      <c r="B44" s="210"/>
      <c r="C44" s="210"/>
      <c r="D44" s="206">
        <f>SUMIF('PB2'!$J$3:$J$201,"D1.2.1-Staff Costs",'PB2'!$I$3:$I$201)</f>
        <v>0</v>
      </c>
      <c r="E44" s="207"/>
      <c r="F44" s="208"/>
      <c r="G44" s="206">
        <f>SUMIF('PB2'!$J$3:$J$201,"D1.2.1-Office and Administration",'PB2'!$I$3:$I$201)</f>
        <v>0</v>
      </c>
      <c r="H44" s="207"/>
      <c r="I44" s="208"/>
      <c r="J44" s="206">
        <f>SUMIF('PB2'!$J$3:$J$201,"D1.2.1-Travel and Accommodation",'PB2'!$I$3:$I$201)</f>
        <v>0</v>
      </c>
      <c r="K44" s="207"/>
      <c r="L44" s="208"/>
      <c r="M44" s="206">
        <f>SUMIF('PB2'!$J$3:$J$201,"D1.2.1-External Expertise and Services",'PB2'!$I$3:$I$201)</f>
        <v>0</v>
      </c>
      <c r="N44" s="207"/>
      <c r="O44" s="208"/>
      <c r="P44" s="206">
        <f>SUMIF('PB2'!$J$3:$J$201,"D1.2.1-Equipment",'PB2'!$I$3:$I$201)</f>
        <v>0</v>
      </c>
      <c r="Q44" s="207"/>
      <c r="R44" s="208"/>
      <c r="S44" s="206">
        <f>SUMIF('PB2'!$J$3:$J$201,"D1.2.1-Infrastructure and Works",'PB2'!$I$3:$I$201)</f>
        <v>0</v>
      </c>
      <c r="T44" s="207"/>
      <c r="U44" s="208"/>
      <c r="V44" s="201">
        <f t="shared" si="1"/>
        <v>0</v>
      </c>
      <c r="W44" s="202"/>
      <c r="X44" s="202"/>
    </row>
    <row r="45" spans="1:24">
      <c r="A45" s="210" t="s">
        <v>80</v>
      </c>
      <c r="B45" s="210"/>
      <c r="C45" s="210"/>
      <c r="D45" s="206">
        <f>SUMIF('PB2'!$J$3:$J$201,"D1.2.2-Staff Costs",'PB2'!$I$3:$I$201)</f>
        <v>0</v>
      </c>
      <c r="E45" s="207"/>
      <c r="F45" s="208"/>
      <c r="G45" s="206">
        <f>SUMIF('PB2'!$J$3:$J$201,"D1.2.2-Office and Administration",'PB2'!$I$3:$I$201)</f>
        <v>0</v>
      </c>
      <c r="H45" s="207"/>
      <c r="I45" s="208"/>
      <c r="J45" s="206">
        <f>SUMIF('PB2'!$J$3:$J$201,"D1.2.2-Travel and Accommodation",'PB2'!$I$3:$I$201)</f>
        <v>0</v>
      </c>
      <c r="K45" s="207"/>
      <c r="L45" s="208"/>
      <c r="M45" s="206">
        <f>SUMIF('PB2'!$J$3:$J$201,"D1.2.2-External Expertise and Services",'PB2'!$I$3:$I$201)</f>
        <v>0</v>
      </c>
      <c r="N45" s="207"/>
      <c r="O45" s="208"/>
      <c r="P45" s="206">
        <f>SUMIF('PB2'!$J$3:$J$201,"D1.2.2-Equipment",'PB2'!$I$3:$I$201)</f>
        <v>0</v>
      </c>
      <c r="Q45" s="207"/>
      <c r="R45" s="208"/>
      <c r="S45" s="206">
        <f>SUMIF('PB2'!$J$3:$J$201,"D1.2.2-Infrastructure and Works",'PB2'!$I$3:$I$201)</f>
        <v>0</v>
      </c>
      <c r="T45" s="207"/>
      <c r="U45" s="208"/>
      <c r="V45" s="201">
        <f t="shared" si="1"/>
        <v>0</v>
      </c>
      <c r="W45" s="202"/>
      <c r="X45" s="202"/>
    </row>
    <row r="46" spans="1:24">
      <c r="A46" s="210" t="s">
        <v>86</v>
      </c>
      <c r="B46" s="210" t="s">
        <v>35</v>
      </c>
      <c r="C46" s="210" t="s">
        <v>35</v>
      </c>
      <c r="D46" s="206">
        <f>SUMIF('PB2'!$J$3:$J$201,"D1.2.3-Staff Costs",'PB2'!$I$3:$I$201)</f>
        <v>0</v>
      </c>
      <c r="E46" s="207"/>
      <c r="F46" s="208"/>
      <c r="G46" s="206">
        <f>SUMIF('PB2'!$J$3:$J$201,"D1.2.3-Office and Administration",'PB2'!$I$3:$I$201)</f>
        <v>0</v>
      </c>
      <c r="H46" s="207"/>
      <c r="I46" s="208"/>
      <c r="J46" s="206">
        <f>SUMIF('PB2'!$J$3:$J$201,"D1.2.3-Travel and Accommodation",'PB2'!$I$3:$I$201)</f>
        <v>0</v>
      </c>
      <c r="K46" s="207"/>
      <c r="L46" s="208"/>
      <c r="M46" s="206">
        <f>SUMIF('PB2'!$J$3:$J$201,"D1.2.3-External Expertise and Services",'PB2'!$I$3:$I$201)</f>
        <v>0</v>
      </c>
      <c r="N46" s="207"/>
      <c r="O46" s="208"/>
      <c r="P46" s="206">
        <f>SUMIF('PB2'!$J$3:$J$201,"D1.2.3-Equipment",'PB2'!$I$3:$I$201)</f>
        <v>0</v>
      </c>
      <c r="Q46" s="207"/>
      <c r="R46" s="208"/>
      <c r="S46" s="206">
        <f>SUMIF('PB2'!$J$3:$J$201,"D1.2.3-Infrastructure and Works",'PB2'!$I$3:$I$201)</f>
        <v>0</v>
      </c>
      <c r="T46" s="207"/>
      <c r="U46" s="208"/>
      <c r="V46" s="201">
        <f t="shared" si="1"/>
        <v>0</v>
      </c>
      <c r="W46" s="202"/>
      <c r="X46" s="202"/>
    </row>
    <row r="47" spans="1:24">
      <c r="A47" s="210" t="s">
        <v>92</v>
      </c>
      <c r="B47" s="210" t="s">
        <v>36</v>
      </c>
      <c r="C47" s="210" t="s">
        <v>36</v>
      </c>
      <c r="D47" s="206">
        <f>SUMIF('PB2'!$J$3:$J$201,"D1.2.4-Staff Costs",'PB2'!$I$3:$I$201)</f>
        <v>0</v>
      </c>
      <c r="E47" s="207"/>
      <c r="F47" s="208"/>
      <c r="G47" s="206">
        <f>SUMIF('PB2'!$J$3:$J$201,"D1.2.4-Office and Administration",'PB2'!$I$3:$I$201)</f>
        <v>0</v>
      </c>
      <c r="H47" s="207"/>
      <c r="I47" s="208"/>
      <c r="J47" s="206">
        <f>SUMIF('PB2'!$J$3:$J$201,"D1.2.4-Travel and Accommodation",'PB2'!$I$3:$I$201)</f>
        <v>0</v>
      </c>
      <c r="K47" s="207"/>
      <c r="L47" s="208"/>
      <c r="M47" s="206">
        <f>SUMIF('PB2'!$J$3:$J$201,"D1.2.4-External Expertise and Services",'PB2'!$I$3:$I$201)</f>
        <v>0</v>
      </c>
      <c r="N47" s="207"/>
      <c r="O47" s="208"/>
      <c r="P47" s="206">
        <f>SUMIF('PB2'!$J$3:$J$201,"D1.2.4-Equipment",'PB2'!$I$3:$I$201)</f>
        <v>0</v>
      </c>
      <c r="Q47" s="207"/>
      <c r="R47" s="208"/>
      <c r="S47" s="206">
        <f>SUMIF('PB2'!$J$3:$J$201,"D1.2.4-Infrastructure and Works",'PB2'!$I$3:$I$201)</f>
        <v>0</v>
      </c>
      <c r="T47" s="207"/>
      <c r="U47" s="208"/>
      <c r="V47" s="201">
        <f t="shared" si="1"/>
        <v>0</v>
      </c>
      <c r="W47" s="202"/>
      <c r="X47" s="202"/>
    </row>
    <row r="48" spans="1:24">
      <c r="A48" s="210" t="s">
        <v>98</v>
      </c>
      <c r="B48" s="210" t="s">
        <v>37</v>
      </c>
      <c r="C48" s="210" t="s">
        <v>37</v>
      </c>
      <c r="D48" s="206">
        <f>SUMIF('PB2'!$J$3:$J$201,"D1.2.5-Staff Costs",'PB2'!$I$3:$I$201)</f>
        <v>0</v>
      </c>
      <c r="E48" s="207"/>
      <c r="F48" s="208"/>
      <c r="G48" s="206">
        <f>SUMIF('PB2'!$J$3:$J$201,"D1.2.5-Office and Administration",'PB2'!$I$3:$I$201)</f>
        <v>0</v>
      </c>
      <c r="H48" s="207"/>
      <c r="I48" s="208"/>
      <c r="J48" s="206">
        <f>SUMIF('PB2'!$J$3:$J$201,"D1.2.5-Travel and Accommodation",'PB2'!$I$3:$I$201)</f>
        <v>0</v>
      </c>
      <c r="K48" s="207"/>
      <c r="L48" s="208"/>
      <c r="M48" s="206">
        <f>SUMIF('PB2'!$J$3:$J$201,"D1.2.5-External Expertise and Services",'PB2'!$I$3:$I$201)</f>
        <v>0</v>
      </c>
      <c r="N48" s="207"/>
      <c r="O48" s="208"/>
      <c r="P48" s="206">
        <f>SUMIF('PB2'!$J$3:$J$201,"D1.2.5-Equipment",'PB2'!$I$3:$I$201)</f>
        <v>0</v>
      </c>
      <c r="Q48" s="207"/>
      <c r="R48" s="208"/>
      <c r="S48" s="206">
        <f>SUMIF('PB2'!$J$3:$J$201,"D1.2.5-Infrastructure and Works",'PB2'!$I$3:$I$201)</f>
        <v>0</v>
      </c>
      <c r="T48" s="207"/>
      <c r="U48" s="208"/>
      <c r="V48" s="201">
        <f t="shared" si="1"/>
        <v>0</v>
      </c>
      <c r="W48" s="202"/>
      <c r="X48" s="202"/>
    </row>
    <row r="49" spans="1:24">
      <c r="A49" s="213" t="s">
        <v>416</v>
      </c>
      <c r="B49" s="213"/>
      <c r="C49" s="213"/>
      <c r="D49" s="203">
        <f>SUM(D50:D54)</f>
        <v>0</v>
      </c>
      <c r="E49" s="204"/>
      <c r="F49" s="205"/>
      <c r="G49" s="203">
        <f>SUM(G50:G54)</f>
        <v>0</v>
      </c>
      <c r="H49" s="204"/>
      <c r="I49" s="205"/>
      <c r="J49" s="203">
        <f>SUM(J50:J54)</f>
        <v>0</v>
      </c>
      <c r="K49" s="204"/>
      <c r="L49" s="205"/>
      <c r="M49" s="203">
        <f>SUM(M50:M54)</f>
        <v>0</v>
      </c>
      <c r="N49" s="204"/>
      <c r="O49" s="205"/>
      <c r="P49" s="203">
        <f>SUM(P50:P54)</f>
        <v>0</v>
      </c>
      <c r="Q49" s="204"/>
      <c r="R49" s="205"/>
      <c r="S49" s="203">
        <f>SUM(S50:S54)</f>
        <v>0</v>
      </c>
      <c r="T49" s="204"/>
      <c r="U49" s="205"/>
      <c r="V49" s="199">
        <f t="shared" si="1"/>
        <v>0</v>
      </c>
      <c r="W49" s="200"/>
      <c r="X49" s="200"/>
    </row>
    <row r="50" spans="1:24">
      <c r="A50" s="210" t="s">
        <v>75</v>
      </c>
      <c r="B50" s="210" t="s">
        <v>38</v>
      </c>
      <c r="C50" s="210" t="s">
        <v>38</v>
      </c>
      <c r="D50" s="206">
        <f>SUMIF('PB2'!$J$3:$J$201,"D2.2.1-Staff Costs",'PB2'!$I$3:$I$201)</f>
        <v>0</v>
      </c>
      <c r="E50" s="207"/>
      <c r="F50" s="208"/>
      <c r="G50" s="206">
        <f>SUMIF('PB2'!$J$3:$J$201,"D2.2.1-Office and Administration",'PB2'!$I$3:$I$201)</f>
        <v>0</v>
      </c>
      <c r="H50" s="207"/>
      <c r="I50" s="208"/>
      <c r="J50" s="206">
        <f>SUMIF('PB2'!$J$3:$J$201,"D2.2.1-Travel and Accommodation",'PB2'!$I$3:$I$201)</f>
        <v>0</v>
      </c>
      <c r="K50" s="207"/>
      <c r="L50" s="208"/>
      <c r="M50" s="206">
        <f>SUMIF('PB2'!$J$3:$J$201,"D2.2.1-External Expertise and Services",'PB2'!$I$3:$I$201)</f>
        <v>0</v>
      </c>
      <c r="N50" s="207"/>
      <c r="O50" s="208"/>
      <c r="P50" s="206">
        <f>SUMIF('PB2'!$J$3:$J$201,"D2.2.1-Equipment",'PB2'!$I$3:$I$201)</f>
        <v>0</v>
      </c>
      <c r="Q50" s="207"/>
      <c r="R50" s="208"/>
      <c r="S50" s="206">
        <f>SUMIF('PB2'!$J$3:$J$201,"D2.2.1-Infrastructure and Works",'PB2'!$I$3:$I$201)</f>
        <v>0</v>
      </c>
      <c r="T50" s="207"/>
      <c r="U50" s="208"/>
      <c r="V50" s="201">
        <f t="shared" si="1"/>
        <v>0</v>
      </c>
      <c r="W50" s="202"/>
      <c r="X50" s="202"/>
    </row>
    <row r="51" spans="1:24">
      <c r="A51" s="210" t="s">
        <v>81</v>
      </c>
      <c r="B51" s="210" t="s">
        <v>39</v>
      </c>
      <c r="C51" s="210" t="s">
        <v>39</v>
      </c>
      <c r="D51" s="206">
        <f>SUMIF('PB2'!$J$3:$J$201,"D2.2.2-Staff Costs",'PB2'!$I$3:$I$201)</f>
        <v>0</v>
      </c>
      <c r="E51" s="207"/>
      <c r="F51" s="208"/>
      <c r="G51" s="206">
        <f>SUMIF('PB2'!$J$3:$J$201,"D2.2.2-Office and Administration",'PB2'!$I$3:$I$201)</f>
        <v>0</v>
      </c>
      <c r="H51" s="207"/>
      <c r="I51" s="208"/>
      <c r="J51" s="206">
        <f>SUMIF('PB2'!$J$3:$J$201,"D2.2.2-Travel and Accommodation",'PB2'!$I$3:$I$201)</f>
        <v>0</v>
      </c>
      <c r="K51" s="207"/>
      <c r="L51" s="208"/>
      <c r="M51" s="206">
        <f>SUMIF('PB2'!$J$3:$J$201,"D2.2.2-External Expertise and Services",'PB2'!$I$3:$I$201)</f>
        <v>0</v>
      </c>
      <c r="N51" s="207"/>
      <c r="O51" s="208"/>
      <c r="P51" s="206">
        <f>SUMIF('PB2'!$J$3:$J$201,"D2.2.2-Equipment",'PB2'!$I$3:$I$201)</f>
        <v>0</v>
      </c>
      <c r="Q51" s="207"/>
      <c r="R51" s="208"/>
      <c r="S51" s="206">
        <f>SUMIF('PB2'!$J$3:$J$201,"D2.2.2-Infrastructure and Works",'PB2'!$I$3:$I$201)</f>
        <v>0</v>
      </c>
      <c r="T51" s="207"/>
      <c r="U51" s="208"/>
      <c r="V51" s="201">
        <f t="shared" si="1"/>
        <v>0</v>
      </c>
      <c r="W51" s="202"/>
      <c r="X51" s="202"/>
    </row>
    <row r="52" spans="1:24">
      <c r="A52" s="210" t="s">
        <v>87</v>
      </c>
      <c r="B52" s="210" t="s">
        <v>40</v>
      </c>
      <c r="C52" s="210" t="s">
        <v>40</v>
      </c>
      <c r="D52" s="206">
        <f>SUMIF('PB2'!$J$3:$J$201,"D2.2.3-Staff Costs",'PB2'!$I$3:$I$201)</f>
        <v>0</v>
      </c>
      <c r="E52" s="207"/>
      <c r="F52" s="208"/>
      <c r="G52" s="206">
        <f>SUMIF('PB2'!$J$3:$J$201,"D2.2.3-Office and Administration",'PB2'!$I$3:$I$201)</f>
        <v>0</v>
      </c>
      <c r="H52" s="207"/>
      <c r="I52" s="208"/>
      <c r="J52" s="206">
        <f>SUMIF('PB2'!$J$3:$J$201,"D2.2.3-Travel and Accommodation",'PB2'!$I$3:$I$201)</f>
        <v>0</v>
      </c>
      <c r="K52" s="207"/>
      <c r="L52" s="208"/>
      <c r="M52" s="206">
        <f>SUMIF('PB2'!$J$3:$J$201,"D2.2.3-External Expertise and Services",'PB2'!$I$3:$I$201)</f>
        <v>0</v>
      </c>
      <c r="N52" s="207"/>
      <c r="O52" s="208"/>
      <c r="P52" s="206">
        <f>SUMIF('PB2'!$J$3:$J$201,"D2.2.3-Equipment",'PB2'!$I$3:$I$201)</f>
        <v>0</v>
      </c>
      <c r="Q52" s="207"/>
      <c r="R52" s="208"/>
      <c r="S52" s="206">
        <f>SUMIF('PB2'!$J$3:$J$201,"D2.2.3-Infrastructure and Works",'PB2'!$I$3:$I$201)</f>
        <v>0</v>
      </c>
      <c r="T52" s="207"/>
      <c r="U52" s="208"/>
      <c r="V52" s="201">
        <f t="shared" si="1"/>
        <v>0</v>
      </c>
      <c r="W52" s="202"/>
      <c r="X52" s="202"/>
    </row>
    <row r="53" spans="1:24">
      <c r="A53" s="210" t="s">
        <v>93</v>
      </c>
      <c r="B53" s="210" t="s">
        <v>41</v>
      </c>
      <c r="C53" s="210" t="s">
        <v>41</v>
      </c>
      <c r="D53" s="206">
        <f>SUMIF('PB2'!$J$3:$J$201,"D2.2.4-Staff Costs",'PB2'!$I$3:$I$201)</f>
        <v>0</v>
      </c>
      <c r="E53" s="207"/>
      <c r="F53" s="208"/>
      <c r="G53" s="206">
        <f>SUMIF('PB2'!$J$3:$J$201,"D2.2.4-Office and Administration",'PB2'!$I$3:$I$201)</f>
        <v>0</v>
      </c>
      <c r="H53" s="207"/>
      <c r="I53" s="208"/>
      <c r="J53" s="206">
        <f>SUMIF('PB2'!$J$3:$J$201,"D2.2.4-Travel and Accommodation",'PB2'!$I$3:$I$201)</f>
        <v>0</v>
      </c>
      <c r="K53" s="207"/>
      <c r="L53" s="208"/>
      <c r="M53" s="206">
        <f>SUMIF('PB2'!$J$3:$J$201,"D2.2.4-External Expertise and Services",'PB2'!$I$3:$I$201)</f>
        <v>0</v>
      </c>
      <c r="N53" s="207"/>
      <c r="O53" s="208"/>
      <c r="P53" s="206">
        <f>SUMIF('PB2'!$J$3:$J$201,"D2.2.4-Equipment",'PB2'!$I$3:$I$201)</f>
        <v>0</v>
      </c>
      <c r="Q53" s="207"/>
      <c r="R53" s="208"/>
      <c r="S53" s="206">
        <f>SUMIF('PB2'!$J$3:$J$201,"D2.2.4-Infrastructure and Works",'PB2'!$I$3:$I$201)</f>
        <v>0</v>
      </c>
      <c r="T53" s="207"/>
      <c r="U53" s="208"/>
      <c r="V53" s="201">
        <f t="shared" si="1"/>
        <v>0</v>
      </c>
      <c r="W53" s="202"/>
      <c r="X53" s="202"/>
    </row>
    <row r="54" spans="1:24">
      <c r="A54" s="210" t="s">
        <v>99</v>
      </c>
      <c r="B54" s="210" t="s">
        <v>42</v>
      </c>
      <c r="C54" s="210" t="s">
        <v>42</v>
      </c>
      <c r="D54" s="206">
        <f>SUMIF('PB2'!$J$3:$J$201,"D2.2.5-Staff Costs",'PB2'!$I$3:$I$201)</f>
        <v>0</v>
      </c>
      <c r="E54" s="207"/>
      <c r="F54" s="208"/>
      <c r="G54" s="206">
        <f>SUMIF('PB2'!$J$3:$J$201,"D2.2.5-Office and Administration",'PB2'!$I$3:$I$201)</f>
        <v>0</v>
      </c>
      <c r="H54" s="207"/>
      <c r="I54" s="208"/>
      <c r="J54" s="206">
        <f>SUMIF('PB2'!$J$3:$J$201,"D2.2.5-Travel and Accommodation",'PB2'!$I$3:$I$201)</f>
        <v>0</v>
      </c>
      <c r="K54" s="207"/>
      <c r="L54" s="208"/>
      <c r="M54" s="206">
        <f>SUMIF('PB2'!$J$3:$J$201,"D2.2.5-External Expertise and Services",'PB2'!$I$3:$I$201)</f>
        <v>0</v>
      </c>
      <c r="N54" s="207"/>
      <c r="O54" s="208"/>
      <c r="P54" s="206">
        <f>SUMIF('PB2'!$J$3:$J$201,"D2.2.5-Equipment",'PB2'!$I$3:$I$201)</f>
        <v>0</v>
      </c>
      <c r="Q54" s="207"/>
      <c r="R54" s="208"/>
      <c r="S54" s="206">
        <f>SUMIF('PB2'!$J$3:$J$201,"D2.2.5-Infrastructure and Works",'PB2'!$I$3:$I$201)</f>
        <v>0</v>
      </c>
      <c r="T54" s="207"/>
      <c r="U54" s="208"/>
      <c r="V54" s="201">
        <f t="shared" si="1"/>
        <v>0</v>
      </c>
      <c r="W54" s="202"/>
      <c r="X54" s="202"/>
    </row>
    <row r="55" spans="1:24">
      <c r="A55" s="213" t="s">
        <v>417</v>
      </c>
      <c r="B55" s="213"/>
      <c r="C55" s="213" t="s">
        <v>418</v>
      </c>
      <c r="D55" s="203">
        <f>SUM(D56:D60)</f>
        <v>0</v>
      </c>
      <c r="E55" s="204"/>
      <c r="F55" s="205"/>
      <c r="G55" s="203">
        <f>SUM(G56:G60)</f>
        <v>0</v>
      </c>
      <c r="H55" s="204"/>
      <c r="I55" s="205"/>
      <c r="J55" s="203">
        <f>SUM(J56:J60)</f>
        <v>0</v>
      </c>
      <c r="K55" s="204"/>
      <c r="L55" s="205"/>
      <c r="M55" s="203">
        <f>SUM(M56:M60)</f>
        <v>0</v>
      </c>
      <c r="N55" s="204"/>
      <c r="O55" s="205"/>
      <c r="P55" s="203">
        <f>SUM(P56:P60)</f>
        <v>0</v>
      </c>
      <c r="Q55" s="204"/>
      <c r="R55" s="205"/>
      <c r="S55" s="203">
        <f>SUM(S56:S60)</f>
        <v>0</v>
      </c>
      <c r="T55" s="204"/>
      <c r="U55" s="205"/>
      <c r="V55" s="199">
        <f t="shared" si="1"/>
        <v>0</v>
      </c>
      <c r="W55" s="200"/>
      <c r="X55" s="200"/>
    </row>
    <row r="56" spans="1:24">
      <c r="A56" s="210" t="s">
        <v>76</v>
      </c>
      <c r="B56" s="210" t="s">
        <v>43</v>
      </c>
      <c r="C56" s="210" t="s">
        <v>43</v>
      </c>
      <c r="D56" s="206">
        <f>SUMIF('PB2'!$J$3:$J$201,"D3.2.1-Staff Costs",'PB2'!$I$3:$I$201)</f>
        <v>0</v>
      </c>
      <c r="E56" s="207"/>
      <c r="F56" s="208"/>
      <c r="G56" s="206">
        <f>SUMIF('PB2'!$J$3:$J$201,"D3.2.1-Office and Administration",'PB2'!$I$3:$I$201)</f>
        <v>0</v>
      </c>
      <c r="H56" s="207"/>
      <c r="I56" s="208"/>
      <c r="J56" s="206">
        <f>SUMIF('PB2'!$J$3:$J$201,"D3.2.1-Travel and Accommodation",'PB2'!$I$3:$I$201)</f>
        <v>0</v>
      </c>
      <c r="K56" s="207"/>
      <c r="L56" s="208"/>
      <c r="M56" s="206">
        <f>SUMIF('PB2'!$J$3:$J$201,"D3.2.1-External Expertise and Services",'PB2'!$I$3:$I$201)</f>
        <v>0</v>
      </c>
      <c r="N56" s="207"/>
      <c r="O56" s="208"/>
      <c r="P56" s="206">
        <f>SUMIF('PB2'!$J$3:$J$201,"D3.2.1-Equipment",'PB2'!$I$3:$I$201)</f>
        <v>0</v>
      </c>
      <c r="Q56" s="207"/>
      <c r="R56" s="208"/>
      <c r="S56" s="206">
        <f>SUMIF('PB2'!$J$3:$J$201,"D3.2.1-Infrastructure and Works",'PB2'!$I$3:$I$201)</f>
        <v>0</v>
      </c>
      <c r="T56" s="207"/>
      <c r="U56" s="208"/>
      <c r="V56" s="201">
        <f t="shared" si="1"/>
        <v>0</v>
      </c>
      <c r="W56" s="202"/>
      <c r="X56" s="202"/>
    </row>
    <row r="57" spans="1:24">
      <c r="A57" s="210" t="s">
        <v>82</v>
      </c>
      <c r="B57" s="210" t="s">
        <v>44</v>
      </c>
      <c r="C57" s="210" t="s">
        <v>44</v>
      </c>
      <c r="D57" s="206">
        <f>SUMIF('PB2'!$J$3:$J$201,"D3.2.2-Staff Costs",'PB2'!$I$3:$I$201)</f>
        <v>0</v>
      </c>
      <c r="E57" s="207"/>
      <c r="F57" s="208"/>
      <c r="G57" s="206">
        <f>SUMIF('PB2'!$J$3:$J$201,"D3.2.2-Office and Administration",'PB2'!$I$3:$I$201)</f>
        <v>0</v>
      </c>
      <c r="H57" s="207"/>
      <c r="I57" s="208"/>
      <c r="J57" s="206">
        <f>SUMIF('PB2'!$J$3:$J$201,"D3.2.2-Travel and Accommodation",'PB2'!$I$3:$I$201)</f>
        <v>0</v>
      </c>
      <c r="K57" s="207"/>
      <c r="L57" s="208"/>
      <c r="M57" s="206">
        <f>SUMIF('PB2'!$J$3:$J$201,"D3.2.2-External Expertise and Services",'PB2'!$I$3:$I$201)</f>
        <v>0</v>
      </c>
      <c r="N57" s="207"/>
      <c r="O57" s="208"/>
      <c r="P57" s="206">
        <f>SUMIF('PB2'!$J$3:$J$201,"D3.2.2-Equipment",'PB2'!$I$3:$I$201)</f>
        <v>0</v>
      </c>
      <c r="Q57" s="207"/>
      <c r="R57" s="208"/>
      <c r="S57" s="206">
        <f>SUMIF('PB2'!$J$3:$J$201,"D3.2.2-Infrastructure and Works",'PB2'!$I$3:$I$201)</f>
        <v>0</v>
      </c>
      <c r="T57" s="207"/>
      <c r="U57" s="208"/>
      <c r="V57" s="201">
        <f t="shared" si="1"/>
        <v>0</v>
      </c>
      <c r="W57" s="202"/>
      <c r="X57" s="202"/>
    </row>
    <row r="58" spans="1:24">
      <c r="A58" s="210" t="s">
        <v>88</v>
      </c>
      <c r="B58" s="210" t="s">
        <v>45</v>
      </c>
      <c r="C58" s="210" t="s">
        <v>45</v>
      </c>
      <c r="D58" s="206">
        <f>SUMIF('PB2'!$J$3:$J$201,"D3.2.3-Staff Costs",'PB2'!$I$3:$I$201)</f>
        <v>0</v>
      </c>
      <c r="E58" s="207"/>
      <c r="F58" s="208"/>
      <c r="G58" s="206">
        <f>SUMIF('PB2'!$J$3:$J$201,"D3.2.3-Office and Administration",'PB2'!$I$3:$I$201)</f>
        <v>0</v>
      </c>
      <c r="H58" s="207"/>
      <c r="I58" s="208"/>
      <c r="J58" s="206">
        <f>SUMIF('PB2'!$J$3:$J$201,"D3.2.3-Travel and Accommodation",'PB2'!$I$3:$I$201)</f>
        <v>0</v>
      </c>
      <c r="K58" s="207"/>
      <c r="L58" s="208"/>
      <c r="M58" s="206">
        <f>SUMIF('PB2'!$J$3:$J$201,"D3.2.3-External Expertise and Services",'PB2'!$I$3:$I$201)</f>
        <v>0</v>
      </c>
      <c r="N58" s="207"/>
      <c r="O58" s="208"/>
      <c r="P58" s="206">
        <f>SUMIF('PB2'!$J$3:$J$201,"D3.2.3-Equipment",'PB2'!$I$3:$I$201)</f>
        <v>0</v>
      </c>
      <c r="Q58" s="207"/>
      <c r="R58" s="208"/>
      <c r="S58" s="206">
        <f>SUMIF('PB2'!$J$3:$J$201,"D3.2.3-Infrastructure and Works",'PB2'!$I$3:$I$201)</f>
        <v>0</v>
      </c>
      <c r="T58" s="207"/>
      <c r="U58" s="208"/>
      <c r="V58" s="201">
        <f t="shared" si="1"/>
        <v>0</v>
      </c>
      <c r="W58" s="202"/>
      <c r="X58" s="202"/>
    </row>
    <row r="59" spans="1:24">
      <c r="A59" s="210" t="s">
        <v>94</v>
      </c>
      <c r="B59" s="210" t="s">
        <v>46</v>
      </c>
      <c r="C59" s="210" t="s">
        <v>46</v>
      </c>
      <c r="D59" s="206">
        <f>SUMIF('PB2'!$J$3:$J$201,"D3.2.4-Staff Costs",'PB2'!$I$3:$I$201)</f>
        <v>0</v>
      </c>
      <c r="E59" s="207"/>
      <c r="F59" s="208"/>
      <c r="G59" s="206">
        <f>SUMIF('PB2'!$J$3:$J$201,"D3.2.4-Office and Administration",'PB2'!$I$3:$I$201)</f>
        <v>0</v>
      </c>
      <c r="H59" s="207"/>
      <c r="I59" s="208"/>
      <c r="J59" s="206">
        <f>SUMIF('PB2'!$J$3:$J$201,"D3.2.4-Travel and Accommodation",'PB2'!$I$3:$I$201)</f>
        <v>0</v>
      </c>
      <c r="K59" s="207"/>
      <c r="L59" s="208"/>
      <c r="M59" s="206">
        <f>SUMIF('PB2'!$J$3:$J$201,"D3.2.4-External Expertise and Services",'PB2'!$I$3:$I$201)</f>
        <v>0</v>
      </c>
      <c r="N59" s="207"/>
      <c r="O59" s="208"/>
      <c r="P59" s="206">
        <f>SUMIF('PB2'!$J$3:$J$201,"D3.2.4-Equipment",'PB2'!$I$3:$I$201)</f>
        <v>0</v>
      </c>
      <c r="Q59" s="207"/>
      <c r="R59" s="208"/>
      <c r="S59" s="206">
        <f>SUMIF('PB2'!$J$3:$J$201,"D3.2.4-Infrastructure and Works",'PB2'!$I$3:$I$201)</f>
        <v>0</v>
      </c>
      <c r="T59" s="207"/>
      <c r="U59" s="208"/>
      <c r="V59" s="201">
        <f t="shared" si="1"/>
        <v>0</v>
      </c>
      <c r="W59" s="202"/>
      <c r="X59" s="202"/>
    </row>
    <row r="60" spans="1:24">
      <c r="A60" s="210" t="s">
        <v>100</v>
      </c>
      <c r="B60" s="210" t="s">
        <v>47</v>
      </c>
      <c r="C60" s="210" t="s">
        <v>47</v>
      </c>
      <c r="D60" s="206">
        <f>SUMIF('PB2'!$J$3:$J$201,"D3.2.5-Staff Costs",'PB2'!$I$3:$I$201)</f>
        <v>0</v>
      </c>
      <c r="E60" s="207"/>
      <c r="F60" s="208"/>
      <c r="G60" s="206">
        <f>SUMIF('PB2'!$J$3:$J$201,"D3.2.5-Office and Administration",'PB2'!$I$3:$I$201)</f>
        <v>0</v>
      </c>
      <c r="H60" s="207"/>
      <c r="I60" s="208"/>
      <c r="J60" s="206">
        <f>SUMIF('PB2'!$J$3:$J$201,"D3.2.5-Travel and Accommodation",'PB2'!$I$3:$I$201)</f>
        <v>0</v>
      </c>
      <c r="K60" s="207"/>
      <c r="L60" s="208"/>
      <c r="M60" s="206">
        <f>SUMIF('PB2'!$J$3:$J$201,"D3.2.5-External Expertise and Services",'PB2'!$I$3:$I$201)</f>
        <v>0</v>
      </c>
      <c r="N60" s="207"/>
      <c r="O60" s="208"/>
      <c r="P60" s="206">
        <f>SUMIF('PB2'!$J$3:$J$201,"D3.2.5-Equipment",'PB2'!$I$3:$I$201)</f>
        <v>0</v>
      </c>
      <c r="Q60" s="207"/>
      <c r="R60" s="208"/>
      <c r="S60" s="206">
        <f>SUMIF('PB2'!$J$3:$J$201,"D3.2.5-Infrastructure and Works",'PB2'!$I$3:$I$201)</f>
        <v>0</v>
      </c>
      <c r="T60" s="207"/>
      <c r="U60" s="208"/>
      <c r="V60" s="201">
        <f t="shared" si="1"/>
        <v>0</v>
      </c>
      <c r="W60" s="202"/>
      <c r="X60" s="202"/>
    </row>
    <row r="61" spans="1:24">
      <c r="A61" s="213" t="s">
        <v>419</v>
      </c>
      <c r="B61" s="213"/>
      <c r="C61" s="213" t="s">
        <v>418</v>
      </c>
      <c r="D61" s="203">
        <f>SUM(D62:D66)</f>
        <v>0</v>
      </c>
      <c r="E61" s="204"/>
      <c r="F61" s="205"/>
      <c r="G61" s="203">
        <f>SUM(G62:G66)</f>
        <v>0</v>
      </c>
      <c r="H61" s="204"/>
      <c r="I61" s="205"/>
      <c r="J61" s="203">
        <f>SUM(J62:J66)</f>
        <v>0</v>
      </c>
      <c r="K61" s="204"/>
      <c r="L61" s="205"/>
      <c r="M61" s="203">
        <f>SUM(M62:M66)</f>
        <v>0</v>
      </c>
      <c r="N61" s="204"/>
      <c r="O61" s="205"/>
      <c r="P61" s="203">
        <f>SUM(P62:P66)</f>
        <v>0</v>
      </c>
      <c r="Q61" s="204"/>
      <c r="R61" s="205"/>
      <c r="S61" s="203">
        <f>SUM(S62:S66)</f>
        <v>0</v>
      </c>
      <c r="T61" s="204"/>
      <c r="U61" s="205"/>
      <c r="V61" s="199">
        <f t="shared" si="1"/>
        <v>0</v>
      </c>
      <c r="W61" s="200"/>
      <c r="X61" s="200"/>
    </row>
    <row r="62" spans="1:24">
      <c r="A62" s="210" t="s">
        <v>77</v>
      </c>
      <c r="B62" s="210" t="s">
        <v>48</v>
      </c>
      <c r="C62" s="210" t="s">
        <v>48</v>
      </c>
      <c r="D62" s="206">
        <f>SUMIF('PB2'!$J$3:$J$201,"D4.2.1-Staff Costs",'PB2'!$I$3:$I$201)</f>
        <v>0</v>
      </c>
      <c r="E62" s="207"/>
      <c r="F62" s="208"/>
      <c r="G62" s="206">
        <f>SUMIF('PB2'!$J$3:$J$201,"D4.2.1-Office and Administration",'PB2'!$I$3:$I$201)</f>
        <v>0</v>
      </c>
      <c r="H62" s="207"/>
      <c r="I62" s="208"/>
      <c r="J62" s="206">
        <f>SUMIF('PB2'!$J$3:$J$201,"D4.2.1-Travel and Accommodation",'PB2'!$I$3:$I$201)</f>
        <v>0</v>
      </c>
      <c r="K62" s="207"/>
      <c r="L62" s="208"/>
      <c r="M62" s="206">
        <f>SUMIF('PB2'!$J$3:$J$201,"D4.2.1-External Expertise and Services",'PB2'!$I$3:$I$201)</f>
        <v>0</v>
      </c>
      <c r="N62" s="207"/>
      <c r="O62" s="208"/>
      <c r="P62" s="206">
        <f>SUMIF('PB2'!$J$3:$J$201,"D4.2.1-Equipment",'PB2'!$I$3:$I$201)</f>
        <v>0</v>
      </c>
      <c r="Q62" s="207"/>
      <c r="R62" s="208"/>
      <c r="S62" s="206">
        <f>SUMIF('PB2'!$J$3:$J$201,"D4.2.1-Infrastructure and Works",'PB2'!$I$3:$I$201)</f>
        <v>0</v>
      </c>
      <c r="T62" s="207"/>
      <c r="U62" s="208"/>
      <c r="V62" s="201">
        <f t="shared" si="1"/>
        <v>0</v>
      </c>
      <c r="W62" s="202"/>
      <c r="X62" s="202"/>
    </row>
    <row r="63" spans="1:24">
      <c r="A63" s="210" t="s">
        <v>83</v>
      </c>
      <c r="B63" s="210" t="s">
        <v>49</v>
      </c>
      <c r="C63" s="210" t="s">
        <v>49</v>
      </c>
      <c r="D63" s="206">
        <f>SUMIF('PB2'!$J$3:$J$201,"D4.2.2-Staff Costs",'PB2'!$I$3:$I$201)</f>
        <v>0</v>
      </c>
      <c r="E63" s="207"/>
      <c r="F63" s="208"/>
      <c r="G63" s="206">
        <f>SUMIF('PB2'!$J$3:$J$201,"D4.2.2-Office and Administration",'PB2'!$I$3:$I$201)</f>
        <v>0</v>
      </c>
      <c r="H63" s="207"/>
      <c r="I63" s="208"/>
      <c r="J63" s="206">
        <f>SUMIF('PB2'!$J$3:$J$201,"D4.2.2-Travel and Accommodation",'PB2'!$I$3:$I$201)</f>
        <v>0</v>
      </c>
      <c r="K63" s="207"/>
      <c r="L63" s="208"/>
      <c r="M63" s="206">
        <f>SUMIF('PB2'!$J$3:$J$201,"D4.2.2-External Expertise and Services",'PB2'!$I$3:$I$201)</f>
        <v>0</v>
      </c>
      <c r="N63" s="207"/>
      <c r="O63" s="208"/>
      <c r="P63" s="206">
        <f>SUMIF('PB2'!$J$3:$J$201,"D4.2.2-Equipment",'PB2'!$I$3:$I$201)</f>
        <v>0</v>
      </c>
      <c r="Q63" s="207"/>
      <c r="R63" s="208"/>
      <c r="S63" s="206">
        <f>SUMIF('PB2'!$J$3:$J$201,"D4.2.2-Infrastructure and Works",'PB2'!$I$3:$I$201)</f>
        <v>0</v>
      </c>
      <c r="T63" s="207"/>
      <c r="U63" s="208"/>
      <c r="V63" s="201">
        <f t="shared" si="1"/>
        <v>0</v>
      </c>
      <c r="W63" s="202"/>
      <c r="X63" s="202"/>
    </row>
    <row r="64" spans="1:24">
      <c r="A64" s="210" t="s">
        <v>89</v>
      </c>
      <c r="B64" s="210" t="s">
        <v>50</v>
      </c>
      <c r="C64" s="210" t="s">
        <v>50</v>
      </c>
      <c r="D64" s="206">
        <f>SUMIF('PB2'!$J$3:$J$201,"D4.2.3-Staff Costs",'PB2'!$I$3:$I$201)</f>
        <v>0</v>
      </c>
      <c r="E64" s="207"/>
      <c r="F64" s="208"/>
      <c r="G64" s="206">
        <f>SUMIF('PB2'!$J$3:$J$201,"D4.2.3-Office and Administration",'PB2'!$I$3:$I$201)</f>
        <v>0</v>
      </c>
      <c r="H64" s="207"/>
      <c r="I64" s="208"/>
      <c r="J64" s="206">
        <f>SUMIF('PB2'!$J$3:$J$201,"D4.2.3-Travel and Accommodation",'PB2'!$I$3:$I$201)</f>
        <v>0</v>
      </c>
      <c r="K64" s="207"/>
      <c r="L64" s="208"/>
      <c r="M64" s="206">
        <f>SUMIF('PB2'!$J$3:$J$201,"D4.2.3-External Expertise and Services",'PB2'!$I$3:$I$201)</f>
        <v>0</v>
      </c>
      <c r="N64" s="207"/>
      <c r="O64" s="208"/>
      <c r="P64" s="206">
        <f>SUMIF('PB2'!$J$3:$J$201,"D4.2.3-Equipment",'PB2'!$I$3:$I$201)</f>
        <v>0</v>
      </c>
      <c r="Q64" s="207"/>
      <c r="R64" s="208"/>
      <c r="S64" s="206">
        <f>SUMIF('PB2'!$J$3:$J$201,"D4.2.3-Infrastructure and Works",'PB2'!$I$3:$I$201)</f>
        <v>0</v>
      </c>
      <c r="T64" s="207"/>
      <c r="U64" s="208"/>
      <c r="V64" s="201">
        <f t="shared" si="1"/>
        <v>0</v>
      </c>
      <c r="W64" s="202"/>
      <c r="X64" s="202"/>
    </row>
    <row r="65" spans="1:24">
      <c r="A65" s="210" t="s">
        <v>95</v>
      </c>
      <c r="B65" s="210" t="s">
        <v>51</v>
      </c>
      <c r="C65" s="210" t="s">
        <v>51</v>
      </c>
      <c r="D65" s="206">
        <f>SUMIF('PB2'!$J$3:$J$201,"D4.2.4-Staff Costs",'PB2'!$I$3:$I$201)</f>
        <v>0</v>
      </c>
      <c r="E65" s="207"/>
      <c r="F65" s="208"/>
      <c r="G65" s="206">
        <f>SUMIF('PB2'!$J$3:$J$201,"D4.2.4-Office and Administration",'PB2'!$I$3:$I$201)</f>
        <v>0</v>
      </c>
      <c r="H65" s="207"/>
      <c r="I65" s="208"/>
      <c r="J65" s="206">
        <f>SUMIF('PB2'!$J$3:$J$201,"D4.2.4-Travel and Accommodation",'PB2'!$I$3:$I$201)</f>
        <v>0</v>
      </c>
      <c r="K65" s="207"/>
      <c r="L65" s="208"/>
      <c r="M65" s="206">
        <f>SUMIF('PB2'!$J$3:$J$201,"D4.2.4-External Expertise and Services",'PB2'!$I$3:$I$201)</f>
        <v>0</v>
      </c>
      <c r="N65" s="207"/>
      <c r="O65" s="208"/>
      <c r="P65" s="206">
        <f>SUMIF('PB2'!$J$3:$J$201,"D4.2.4-Equipment",'PB2'!$I$3:$I$201)</f>
        <v>0</v>
      </c>
      <c r="Q65" s="207"/>
      <c r="R65" s="208"/>
      <c r="S65" s="206">
        <f>SUMIF('PB2'!$J$3:$J$201,"D4.2.4-Infrastructure and Works",'PB2'!$I$3:$I$201)</f>
        <v>0</v>
      </c>
      <c r="T65" s="207"/>
      <c r="U65" s="208"/>
      <c r="V65" s="201">
        <f t="shared" si="1"/>
        <v>0</v>
      </c>
      <c r="W65" s="202"/>
      <c r="X65" s="202"/>
    </row>
    <row r="66" spans="1:24">
      <c r="A66" s="210" t="s">
        <v>101</v>
      </c>
      <c r="B66" s="210" t="s">
        <v>52</v>
      </c>
      <c r="C66" s="210" t="s">
        <v>52</v>
      </c>
      <c r="D66" s="206">
        <f>SUMIF('PB2'!$J$3:$J$201,"D4.2.5-Staff Costs",'PB2'!$I$3:$I$201)</f>
        <v>0</v>
      </c>
      <c r="E66" s="207"/>
      <c r="F66" s="208"/>
      <c r="G66" s="206">
        <f>SUMIF('PB2'!$J$3:$J$201,"D4.2.5-Office and Administration",'PB2'!$I$3:$I$201)</f>
        <v>0</v>
      </c>
      <c r="H66" s="207"/>
      <c r="I66" s="208"/>
      <c r="J66" s="206">
        <f>SUMIF('PB2'!$J$3:$J$201,"D4.2.5-Travel and Accommodation",'PB2'!$I$3:$I$201)</f>
        <v>0</v>
      </c>
      <c r="K66" s="207"/>
      <c r="L66" s="208"/>
      <c r="M66" s="206">
        <f>SUMIF('PB2'!$J$3:$J$201,"D4.2.5-External Expertise and Services",'PB2'!$I$3:$I$201)</f>
        <v>0</v>
      </c>
      <c r="N66" s="207"/>
      <c r="O66" s="208"/>
      <c r="P66" s="206">
        <f>SUMIF('PB2'!$J$3:$J$201,"D4.2.5-Equipment",'PB2'!$I$3:$I$201)</f>
        <v>0</v>
      </c>
      <c r="Q66" s="207"/>
      <c r="R66" s="208"/>
      <c r="S66" s="206">
        <f>SUMIF('PB2'!$J$3:$J$201,"D4.2.5-Infrastructure and Works",'PB2'!$I$3:$I$201)</f>
        <v>0</v>
      </c>
      <c r="T66" s="207"/>
      <c r="U66" s="208"/>
      <c r="V66" s="201">
        <f t="shared" si="1"/>
        <v>0</v>
      </c>
      <c r="W66" s="202"/>
      <c r="X66" s="202"/>
    </row>
    <row r="67" spans="1:24">
      <c r="A67" s="213" t="s">
        <v>420</v>
      </c>
      <c r="B67" s="213"/>
      <c r="C67" s="213" t="s">
        <v>418</v>
      </c>
      <c r="D67" s="203">
        <f>SUM(D68:D72)</f>
        <v>0</v>
      </c>
      <c r="E67" s="204"/>
      <c r="F67" s="205"/>
      <c r="G67" s="203">
        <f>SUM(G68:G72)</f>
        <v>0</v>
      </c>
      <c r="H67" s="204"/>
      <c r="I67" s="205"/>
      <c r="J67" s="203">
        <f>SUM(J68:J72)</f>
        <v>0</v>
      </c>
      <c r="K67" s="204"/>
      <c r="L67" s="205"/>
      <c r="M67" s="203">
        <f>SUM(M68:M72)</f>
        <v>0</v>
      </c>
      <c r="N67" s="204"/>
      <c r="O67" s="205"/>
      <c r="P67" s="203">
        <f>SUM(P68:P72)</f>
        <v>0</v>
      </c>
      <c r="Q67" s="204"/>
      <c r="R67" s="205"/>
      <c r="S67" s="203">
        <f>SUM(S68:S72)</f>
        <v>0</v>
      </c>
      <c r="T67" s="204"/>
      <c r="U67" s="205"/>
      <c r="V67" s="199">
        <f t="shared" si="1"/>
        <v>0</v>
      </c>
      <c r="W67" s="200"/>
      <c r="X67" s="200"/>
    </row>
    <row r="68" spans="1:24">
      <c r="A68" s="210" t="s">
        <v>78</v>
      </c>
      <c r="B68" s="210" t="s">
        <v>53</v>
      </c>
      <c r="C68" s="210" t="s">
        <v>53</v>
      </c>
      <c r="D68" s="206">
        <f>SUMIF('PB2'!$J$3:$J$201,"D5.2.1-Staff Costs",'PB2'!$I$3:$I$201)</f>
        <v>0</v>
      </c>
      <c r="E68" s="207"/>
      <c r="F68" s="208"/>
      <c r="G68" s="206">
        <f>SUMIF('PB2'!$J$3:$J$201,"D5.2.1-Office and Administration",'PB2'!$I$3:$I$201)</f>
        <v>0</v>
      </c>
      <c r="H68" s="207"/>
      <c r="I68" s="208"/>
      <c r="J68" s="206">
        <f>SUMIF('PB2'!$J$3:$J$201,"D5.2.1-Travel and Accommodation",'PB2'!$I$3:$I$201)</f>
        <v>0</v>
      </c>
      <c r="K68" s="207"/>
      <c r="L68" s="208"/>
      <c r="M68" s="206">
        <f>SUMIF('PB2'!$J$3:$J$201,"D5.2.1-External Expertise and Services",'PB2'!$I$3:$I$201)</f>
        <v>0</v>
      </c>
      <c r="N68" s="207"/>
      <c r="O68" s="208"/>
      <c r="P68" s="206">
        <f>SUMIF('PB2'!$J$3:$J$201,"D5.2.1-Equipment",'PB2'!$I$3:$I$201)</f>
        <v>0</v>
      </c>
      <c r="Q68" s="207"/>
      <c r="R68" s="208"/>
      <c r="S68" s="206">
        <f>SUMIF('PB2'!$J$3:$J$201,"D5.2.1-Infrastructure and Works",'PB2'!$I$3:$I$201)</f>
        <v>0</v>
      </c>
      <c r="T68" s="207"/>
      <c r="U68" s="208"/>
      <c r="V68" s="201">
        <f t="shared" si="1"/>
        <v>0</v>
      </c>
      <c r="W68" s="202"/>
      <c r="X68" s="202"/>
    </row>
    <row r="69" spans="1:24">
      <c r="A69" s="210" t="s">
        <v>84</v>
      </c>
      <c r="B69" s="210" t="s">
        <v>54</v>
      </c>
      <c r="C69" s="210" t="s">
        <v>54</v>
      </c>
      <c r="D69" s="206">
        <f>SUMIF('PB2'!$J$3:$J$201,"D5.2.2-Staff Costs",'PB2'!$I$3:$I$201)</f>
        <v>0</v>
      </c>
      <c r="E69" s="207"/>
      <c r="F69" s="208"/>
      <c r="G69" s="206">
        <f>SUMIF('PB2'!$J$3:$J$201,"D5.2.2-Office and Administration",'PB2'!$I$3:$I$201)</f>
        <v>0</v>
      </c>
      <c r="H69" s="207"/>
      <c r="I69" s="208"/>
      <c r="J69" s="206">
        <f>SUMIF('PB2'!$J$3:$J$201,"D5.2.2-Travel and Accommodation",'PB2'!$I$3:$I$201)</f>
        <v>0</v>
      </c>
      <c r="K69" s="207"/>
      <c r="L69" s="208"/>
      <c r="M69" s="206">
        <f>SUMIF('PB2'!$J$3:$J$201,"D5.2.2-External Expertise and Services",'PB2'!$I$3:$I$201)</f>
        <v>0</v>
      </c>
      <c r="N69" s="207"/>
      <c r="O69" s="208"/>
      <c r="P69" s="206">
        <f>SUMIF('PB2'!$J$3:$J$201,"D5.2.2-Equipment",'PB2'!$I$3:$I$201)</f>
        <v>0</v>
      </c>
      <c r="Q69" s="207"/>
      <c r="R69" s="208"/>
      <c r="S69" s="206">
        <f>SUMIF('PB2'!$J$3:$J$201,"D5.2.2-Infrastructure and Works",'PB2'!$I$3:$I$201)</f>
        <v>0</v>
      </c>
      <c r="T69" s="207"/>
      <c r="U69" s="208"/>
      <c r="V69" s="201">
        <f t="shared" si="1"/>
        <v>0</v>
      </c>
      <c r="W69" s="202"/>
      <c r="X69" s="202"/>
    </row>
    <row r="70" spans="1:24">
      <c r="A70" s="210" t="s">
        <v>90</v>
      </c>
      <c r="B70" s="210" t="s">
        <v>55</v>
      </c>
      <c r="C70" s="210" t="s">
        <v>55</v>
      </c>
      <c r="D70" s="206">
        <f>SUMIF('PB2'!$J$3:$J$201,"D5.2.3-Staff Costs",'PB2'!$I$3:$I$201)</f>
        <v>0</v>
      </c>
      <c r="E70" s="207"/>
      <c r="F70" s="208"/>
      <c r="G70" s="206">
        <f>SUMIF('PB2'!$J$3:$J$201,"D5.2.3-Office and Administration",'PB2'!$I$3:$I$201)</f>
        <v>0</v>
      </c>
      <c r="H70" s="207"/>
      <c r="I70" s="208"/>
      <c r="J70" s="206">
        <f>SUMIF('PB2'!$J$3:$J$201,"D5.2.3-Travel and Accommodation",'PB2'!$I$3:$I$201)</f>
        <v>0</v>
      </c>
      <c r="K70" s="207"/>
      <c r="L70" s="208"/>
      <c r="M70" s="206">
        <f>SUMIF('PB2'!$J$3:$J$201,"D5.2.3-External Expertise and Services",'PB2'!$I$3:$I$201)</f>
        <v>0</v>
      </c>
      <c r="N70" s="207"/>
      <c r="O70" s="208"/>
      <c r="P70" s="206">
        <f>SUMIF('PB2'!$J$3:$J$201,"D5.2.3-Equipment",'PB2'!$I$3:$I$201)</f>
        <v>0</v>
      </c>
      <c r="Q70" s="207"/>
      <c r="R70" s="208"/>
      <c r="S70" s="206">
        <f>SUMIF('PB2'!$J$3:$J$201,"D5.2.3-Infrastructure and Works",'PB2'!$I$3:$I$201)</f>
        <v>0</v>
      </c>
      <c r="T70" s="207"/>
      <c r="U70" s="208"/>
      <c r="V70" s="201">
        <f t="shared" si="1"/>
        <v>0</v>
      </c>
      <c r="W70" s="202"/>
      <c r="X70" s="202"/>
    </row>
    <row r="71" spans="1:24">
      <c r="A71" s="210" t="s">
        <v>96</v>
      </c>
      <c r="B71" s="210" t="s">
        <v>56</v>
      </c>
      <c r="C71" s="210" t="s">
        <v>56</v>
      </c>
      <c r="D71" s="206">
        <f>SUMIF('PB2'!$J$3:$J$201,"D5.2.4-Staff Costs",'PB2'!$I$3:$I$201)</f>
        <v>0</v>
      </c>
      <c r="E71" s="207"/>
      <c r="F71" s="208"/>
      <c r="G71" s="206">
        <f>SUMIF('PB2'!$J$3:$J$201,"D5.2.4-Office and Administration",'PB2'!$I$3:$I$201)</f>
        <v>0</v>
      </c>
      <c r="H71" s="207"/>
      <c r="I71" s="208"/>
      <c r="J71" s="206">
        <f>SUMIF('PB2'!$J$3:$J$201,"D5.2.4-Travel and Accommodation",'PB2'!$I$3:$I$201)</f>
        <v>0</v>
      </c>
      <c r="K71" s="207"/>
      <c r="L71" s="208"/>
      <c r="M71" s="206">
        <f>SUMIF('PB2'!$J$3:$J$201,"D5.2.4-External Expertise and Services",'PB2'!$I$3:$I$201)</f>
        <v>0</v>
      </c>
      <c r="N71" s="207"/>
      <c r="O71" s="208"/>
      <c r="P71" s="206">
        <f>SUMIF('PB2'!$J$3:$J$201,"D5.2.4-Equipment",'PB2'!$I$3:$I$201)</f>
        <v>0</v>
      </c>
      <c r="Q71" s="207"/>
      <c r="R71" s="208"/>
      <c r="S71" s="206">
        <f>SUMIF('PB2'!$J$3:$J$201,"D5.2.4-Infrastructure and Works",'PB2'!$I$3:$I$201)</f>
        <v>0</v>
      </c>
      <c r="T71" s="207"/>
      <c r="U71" s="208"/>
      <c r="V71" s="201">
        <f t="shared" si="1"/>
        <v>0</v>
      </c>
      <c r="W71" s="202"/>
      <c r="X71" s="202"/>
    </row>
    <row r="72" spans="1:24">
      <c r="A72" s="210" t="s">
        <v>102</v>
      </c>
      <c r="B72" s="210" t="s">
        <v>57</v>
      </c>
      <c r="C72" s="210" t="s">
        <v>57</v>
      </c>
      <c r="D72" s="206">
        <f>SUMIF('PB2'!$J$3:$J$201,"D5.2.5-Staff Costs",'PB2'!$I$3:$I$201)</f>
        <v>0</v>
      </c>
      <c r="E72" s="207"/>
      <c r="F72" s="208"/>
      <c r="G72" s="206">
        <f>SUMIF('PB2'!$J$3:$J$201,"D5.2.5-Office and Administration",'PB2'!$I$3:$I$201)</f>
        <v>0</v>
      </c>
      <c r="H72" s="207"/>
      <c r="I72" s="208"/>
      <c r="J72" s="206">
        <f>SUMIF('PB2'!$J$3:$J$201,"D5.2.5-Travel and Accommodation",'PB2'!$I$3:$I$201)</f>
        <v>0</v>
      </c>
      <c r="K72" s="207"/>
      <c r="L72" s="208"/>
      <c r="M72" s="206">
        <f>SUMIF('PB2'!$J$3:$J$201,"D5.2.5-External Expertise and Services",'PB2'!$I$3:$I$201)</f>
        <v>0</v>
      </c>
      <c r="N72" s="207"/>
      <c r="O72" s="208"/>
      <c r="P72" s="206">
        <f>SUMIF('PB2'!$J$3:$J$201,"D5.2.5-Equipment",'PB2'!$I$3:$I$201)</f>
        <v>0</v>
      </c>
      <c r="Q72" s="207"/>
      <c r="R72" s="208"/>
      <c r="S72" s="206">
        <f>SUMIF('PB2'!$J$3:$J$201,"D5.2.5-Infrastructure and Works",'PB2'!$I$3:$I$201)</f>
        <v>0</v>
      </c>
      <c r="T72" s="207"/>
      <c r="U72" s="208"/>
      <c r="V72" s="201">
        <f t="shared" si="1"/>
        <v>0</v>
      </c>
      <c r="W72" s="202"/>
      <c r="X72" s="202"/>
    </row>
    <row r="73" spans="1:24">
      <c r="A73" s="213" t="s">
        <v>421</v>
      </c>
      <c r="B73" s="213"/>
      <c r="C73" s="213" t="s">
        <v>418</v>
      </c>
      <c r="D73" s="203">
        <f>SUM(D74:D78)</f>
        <v>0</v>
      </c>
      <c r="E73" s="204"/>
      <c r="F73" s="205"/>
      <c r="G73" s="203">
        <f>SUM(G74:G78)</f>
        <v>0</v>
      </c>
      <c r="H73" s="204"/>
      <c r="I73" s="205"/>
      <c r="J73" s="203">
        <f>SUM(J74:J78)</f>
        <v>0</v>
      </c>
      <c r="K73" s="204"/>
      <c r="L73" s="205"/>
      <c r="M73" s="203">
        <f>SUM(M74:M78)</f>
        <v>0</v>
      </c>
      <c r="N73" s="204"/>
      <c r="O73" s="205"/>
      <c r="P73" s="203">
        <f>SUM(P74:P78)</f>
        <v>0</v>
      </c>
      <c r="Q73" s="204"/>
      <c r="R73" s="205"/>
      <c r="S73" s="203">
        <f>SUM(S74:S78)</f>
        <v>0</v>
      </c>
      <c r="T73" s="204"/>
      <c r="U73" s="205"/>
      <c r="V73" s="199">
        <f t="shared" si="1"/>
        <v>0</v>
      </c>
      <c r="W73" s="200"/>
      <c r="X73" s="200"/>
    </row>
    <row r="74" spans="1:24">
      <c r="A74" s="210" t="s">
        <v>79</v>
      </c>
      <c r="B74" s="210" t="s">
        <v>58</v>
      </c>
      <c r="C74" s="210" t="s">
        <v>58</v>
      </c>
      <c r="D74" s="206">
        <f>SUMIF('PB2'!$J$3:$J$201,"D6.2.1-Staff Costs",'PB2'!$I$3:$I$201)</f>
        <v>0</v>
      </c>
      <c r="E74" s="207"/>
      <c r="F74" s="208"/>
      <c r="G74" s="206">
        <f>SUMIF('PB2'!$J$3:$J$201,"D6.2.1-Office and Administration",'PB2'!$I$3:$I$201)</f>
        <v>0</v>
      </c>
      <c r="H74" s="207"/>
      <c r="I74" s="208"/>
      <c r="J74" s="206">
        <f>SUMIF('PB2'!$J$3:$J$201,"D6.2.1-Travel and Accommodation",'PB2'!$I$3:$I$201)</f>
        <v>0</v>
      </c>
      <c r="K74" s="207"/>
      <c r="L74" s="208"/>
      <c r="M74" s="206">
        <f>SUMIF('PB2'!$J$3:$J$201,"D6.2.1-External Expertise and Services",'PB2'!$I$3:$I$201)</f>
        <v>0</v>
      </c>
      <c r="N74" s="207"/>
      <c r="O74" s="208"/>
      <c r="P74" s="206">
        <f>SUMIF('PB2'!$J$3:$J$201,"D6.2.1-Equipment",'PB2'!$I$3:$I$201)</f>
        <v>0</v>
      </c>
      <c r="Q74" s="207"/>
      <c r="R74" s="208"/>
      <c r="S74" s="206">
        <f>SUMIF('PB2'!$J$3:$J$201,"D6.2.1-Infrastructure and Works",'PB2'!$I$3:$I$201)</f>
        <v>0</v>
      </c>
      <c r="T74" s="207"/>
      <c r="U74" s="208"/>
      <c r="V74" s="201">
        <f t="shared" si="1"/>
        <v>0</v>
      </c>
      <c r="W74" s="202"/>
      <c r="X74" s="202"/>
    </row>
    <row r="75" spans="1:24">
      <c r="A75" s="210" t="s">
        <v>85</v>
      </c>
      <c r="B75" s="210" t="s">
        <v>59</v>
      </c>
      <c r="C75" s="210" t="s">
        <v>59</v>
      </c>
      <c r="D75" s="206">
        <f>SUMIF('PB2'!$J$3:$J$201,"D6.2.2-Staff Costs",'PB2'!$I$3:$I$201)</f>
        <v>0</v>
      </c>
      <c r="E75" s="207"/>
      <c r="F75" s="208"/>
      <c r="G75" s="206">
        <f>SUMIF('PB2'!$J$3:$J$201,"D6.2.2-Office and Administration",'PB2'!$I$3:$I$201)</f>
        <v>0</v>
      </c>
      <c r="H75" s="207"/>
      <c r="I75" s="208"/>
      <c r="J75" s="206">
        <f>SUMIF('PB2'!$J$3:$J$201,"D6.2.2-Travel and Accommodation",'PB2'!$I$3:$I$201)</f>
        <v>0</v>
      </c>
      <c r="K75" s="207"/>
      <c r="L75" s="208"/>
      <c r="M75" s="206">
        <f>SUMIF('PB2'!$J$3:$J$201,"D6.2.2-External Expertise and Services",'PB2'!$I$3:$I$201)</f>
        <v>0</v>
      </c>
      <c r="N75" s="207"/>
      <c r="O75" s="208"/>
      <c r="P75" s="206">
        <f>SUMIF('PB2'!$J$3:$J$201,"D6.2.2-Equipment",'PB2'!$I$3:$I$201)</f>
        <v>0</v>
      </c>
      <c r="Q75" s="207"/>
      <c r="R75" s="208"/>
      <c r="S75" s="206">
        <f>SUMIF('PB2'!$J$3:$J$201,"D6.2.2-Infrastructure and Works",'PB2'!$I$3:$I$201)</f>
        <v>0</v>
      </c>
      <c r="T75" s="207"/>
      <c r="U75" s="208"/>
      <c r="V75" s="201">
        <f t="shared" si="1"/>
        <v>0</v>
      </c>
      <c r="W75" s="202"/>
      <c r="X75" s="202"/>
    </row>
    <row r="76" spans="1:24">
      <c r="A76" s="210" t="s">
        <v>91</v>
      </c>
      <c r="B76" s="210" t="s">
        <v>60</v>
      </c>
      <c r="C76" s="210" t="s">
        <v>60</v>
      </c>
      <c r="D76" s="206">
        <f>SUMIF('PB2'!$J$3:$J$201,"D6.2.3-Staff Costs",'PB2'!$I$3:$I$201)</f>
        <v>0</v>
      </c>
      <c r="E76" s="207"/>
      <c r="F76" s="208"/>
      <c r="G76" s="206">
        <f>SUMIF('PB2'!$J$3:$J$201,"D6.2.3-Office and Administration",'PB2'!$I$3:$I$201)</f>
        <v>0</v>
      </c>
      <c r="H76" s="207"/>
      <c r="I76" s="208"/>
      <c r="J76" s="206">
        <f>SUMIF('PB2'!$J$3:$J$201,"D6.2.3-Travel and Accommodation",'PB2'!$I$3:$I$201)</f>
        <v>0</v>
      </c>
      <c r="K76" s="207"/>
      <c r="L76" s="208"/>
      <c r="M76" s="206">
        <f>SUMIF('PB2'!$J$3:$J$201,"D6.2.3-External Expertise and Services",'PB2'!$I$3:$I$201)</f>
        <v>0</v>
      </c>
      <c r="N76" s="207"/>
      <c r="O76" s="208"/>
      <c r="P76" s="206">
        <f>SUMIF('PB2'!$J$3:$J$201,"D6.2.3-Equipment",'PB2'!$I$3:$I$201)</f>
        <v>0</v>
      </c>
      <c r="Q76" s="207"/>
      <c r="R76" s="208"/>
      <c r="S76" s="206">
        <f>SUMIF('PB2'!$J$3:$J$201,"D6.2.3-Infrastructure and Works",'PB2'!$I$3:$I$201)</f>
        <v>0</v>
      </c>
      <c r="T76" s="207"/>
      <c r="U76" s="208"/>
      <c r="V76" s="201">
        <f t="shared" si="1"/>
        <v>0</v>
      </c>
      <c r="W76" s="202"/>
      <c r="X76" s="202"/>
    </row>
    <row r="77" spans="1:24">
      <c r="A77" s="210" t="s">
        <v>97</v>
      </c>
      <c r="B77" s="210" t="s">
        <v>61</v>
      </c>
      <c r="C77" s="210" t="s">
        <v>61</v>
      </c>
      <c r="D77" s="206">
        <f>SUMIF('PB2'!$J$3:$J$201,"D6.2.4-Staff Costs",'PB2'!$I$3:$I$201)</f>
        <v>0</v>
      </c>
      <c r="E77" s="207"/>
      <c r="F77" s="208"/>
      <c r="G77" s="206">
        <f>SUMIF('PB2'!$J$3:$J$201,"D6.2.4-Office and Administration",'PB2'!$I$3:$I$201)</f>
        <v>0</v>
      </c>
      <c r="H77" s="207"/>
      <c r="I77" s="208"/>
      <c r="J77" s="206">
        <f>SUMIF('PB2'!$J$3:$J$201,"D6.2.4-Travel and Accommodation",'PB2'!$I$3:$I$201)</f>
        <v>0</v>
      </c>
      <c r="K77" s="207"/>
      <c r="L77" s="208"/>
      <c r="M77" s="206">
        <f>SUMIF('PB2'!$J$3:$J$201,"D6.2.4-External Expertise and Services",'PB2'!$I$3:$I$201)</f>
        <v>0</v>
      </c>
      <c r="N77" s="207"/>
      <c r="O77" s="208"/>
      <c r="P77" s="206">
        <f>SUMIF('PB2'!$J$3:$J$201,"D6.2.4-Equipment",'PB2'!$I$3:$I$201)</f>
        <v>0</v>
      </c>
      <c r="Q77" s="207"/>
      <c r="R77" s="208"/>
      <c r="S77" s="206">
        <f>SUMIF('PB2'!$J$3:$J$201,"D6.2.4-Infrastructure and Works",'PB2'!$I$3:$I$201)</f>
        <v>0</v>
      </c>
      <c r="T77" s="207"/>
      <c r="U77" s="208"/>
      <c r="V77" s="201">
        <f t="shared" si="1"/>
        <v>0</v>
      </c>
      <c r="W77" s="202"/>
      <c r="X77" s="202"/>
    </row>
    <row r="78" spans="1:24">
      <c r="A78" s="210" t="s">
        <v>103</v>
      </c>
      <c r="B78" s="210"/>
      <c r="C78" s="210"/>
      <c r="D78" s="206">
        <f>SUMIF('PB2'!$J$3:$J$201,"D6.2.5-Staff Costs",'PB2'!$I$3:$I$201)</f>
        <v>0</v>
      </c>
      <c r="E78" s="207"/>
      <c r="F78" s="208"/>
      <c r="G78" s="206">
        <f>SUMIF('PB2'!$J$3:$J$201,"D6.2.5-Office and Administration",'PB2'!$I$3:$I$201)</f>
        <v>0</v>
      </c>
      <c r="H78" s="207"/>
      <c r="I78" s="208"/>
      <c r="J78" s="206">
        <f>SUMIF('PB2'!$J$3:$J$201,"D6.2.5-Travel and Accommodation",'PB2'!$I$3:$I$201)</f>
        <v>0</v>
      </c>
      <c r="K78" s="207"/>
      <c r="L78" s="208"/>
      <c r="M78" s="206">
        <f>SUMIF('PB2'!$J$3:$J$201,"D6.2.5-External Expertise and Services",'PB2'!$I$3:$I$201)</f>
        <v>0</v>
      </c>
      <c r="N78" s="207"/>
      <c r="O78" s="208"/>
      <c r="P78" s="206">
        <f>SUMIF('PB2'!$J$3:$J$201,"D6.2.5-Equipment",'PB2'!$I$3:$I$201)</f>
        <v>0</v>
      </c>
      <c r="Q78" s="207"/>
      <c r="R78" s="208"/>
      <c r="S78" s="206">
        <f>SUMIF('PB2'!$J$3:$J$201,"D6.2.5-Infrastructure and Works",'PB2'!$I$3:$I$201)</f>
        <v>0</v>
      </c>
      <c r="T78" s="207"/>
      <c r="U78" s="208"/>
      <c r="V78" s="201">
        <f t="shared" si="1"/>
        <v>0</v>
      </c>
      <c r="W78" s="202"/>
      <c r="X78" s="202"/>
    </row>
    <row r="79" spans="1:24">
      <c r="A79" s="221" t="s">
        <v>423</v>
      </c>
      <c r="B79" s="221"/>
      <c r="C79" s="221"/>
      <c r="D79" s="224">
        <f>D73+D67+D61+D55+D49+D43</f>
        <v>0</v>
      </c>
      <c r="E79" s="225"/>
      <c r="F79" s="226"/>
      <c r="G79" s="224">
        <f>G73+G67+G61+G55+G49+G43</f>
        <v>0</v>
      </c>
      <c r="H79" s="225"/>
      <c r="I79" s="226"/>
      <c r="J79" s="224">
        <f>J73+J67+J61+J55+J49+J43</f>
        <v>0</v>
      </c>
      <c r="K79" s="225"/>
      <c r="L79" s="226"/>
      <c r="M79" s="224">
        <f>M73+M67+M61+M55+M49+M43</f>
        <v>0</v>
      </c>
      <c r="N79" s="225"/>
      <c r="O79" s="226"/>
      <c r="P79" s="224">
        <f>P73+P67+P61+P55+P49+P43</f>
        <v>0</v>
      </c>
      <c r="Q79" s="225"/>
      <c r="R79" s="226"/>
      <c r="S79" s="224">
        <f>S73+S67+S61+S55+S49+S43</f>
        <v>0</v>
      </c>
      <c r="T79" s="225"/>
      <c r="U79" s="226"/>
      <c r="V79" s="222">
        <f t="shared" si="1"/>
        <v>0</v>
      </c>
      <c r="W79" s="223"/>
      <c r="X79" s="201"/>
    </row>
    <row r="80" spans="1:24"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8"/>
      <c r="W80" s="48"/>
      <c r="X80" s="48"/>
    </row>
    <row r="81" spans="1:24" ht="15" customHeight="1">
      <c r="A81" s="211" t="s">
        <v>497</v>
      </c>
      <c r="B81" s="211"/>
      <c r="C81" s="211"/>
      <c r="D81" s="214" t="s">
        <v>23</v>
      </c>
      <c r="E81" s="215"/>
      <c r="F81" s="216"/>
      <c r="G81" s="214" t="s">
        <v>24</v>
      </c>
      <c r="H81" s="215"/>
      <c r="I81" s="216"/>
      <c r="J81" s="214" t="s">
        <v>474</v>
      </c>
      <c r="K81" s="215"/>
      <c r="L81" s="216"/>
      <c r="M81" s="214" t="s">
        <v>25</v>
      </c>
      <c r="N81" s="215"/>
      <c r="O81" s="216"/>
      <c r="P81" s="214" t="s">
        <v>26</v>
      </c>
      <c r="Q81" s="215"/>
      <c r="R81" s="216"/>
      <c r="S81" s="214" t="s">
        <v>406</v>
      </c>
      <c r="T81" s="215"/>
      <c r="U81" s="216"/>
      <c r="V81" s="220" t="s">
        <v>423</v>
      </c>
      <c r="W81" s="220"/>
      <c r="X81" s="220"/>
    </row>
    <row r="82" spans="1:24" ht="48.75" customHeight="1">
      <c r="A82" s="212">
        <f>'Cover page'!C24</f>
        <v>0</v>
      </c>
      <c r="B82" s="212"/>
      <c r="C82" s="212"/>
      <c r="D82" s="217"/>
      <c r="E82" s="218"/>
      <c r="F82" s="219"/>
      <c r="G82" s="217"/>
      <c r="H82" s="218"/>
      <c r="I82" s="219"/>
      <c r="J82" s="217"/>
      <c r="K82" s="218"/>
      <c r="L82" s="219"/>
      <c r="M82" s="217"/>
      <c r="N82" s="218"/>
      <c r="O82" s="219"/>
      <c r="P82" s="217"/>
      <c r="Q82" s="218"/>
      <c r="R82" s="219"/>
      <c r="S82" s="217"/>
      <c r="T82" s="218"/>
      <c r="U82" s="219"/>
      <c r="V82" s="220"/>
      <c r="W82" s="220"/>
      <c r="X82" s="220"/>
    </row>
    <row r="83" spans="1:24">
      <c r="A83" s="213" t="s">
        <v>415</v>
      </c>
      <c r="B83" s="213"/>
      <c r="C83" s="213"/>
      <c r="D83" s="203">
        <f>SUM(D84:D88)</f>
        <v>0</v>
      </c>
      <c r="E83" s="204"/>
      <c r="F83" s="205"/>
      <c r="G83" s="203">
        <f>SUM(G84:G88)</f>
        <v>0</v>
      </c>
      <c r="H83" s="204"/>
      <c r="I83" s="205"/>
      <c r="J83" s="203">
        <f>SUM(J84:J88)</f>
        <v>0</v>
      </c>
      <c r="K83" s="204"/>
      <c r="L83" s="205"/>
      <c r="M83" s="203">
        <f>SUM(M84:M88)</f>
        <v>0</v>
      </c>
      <c r="N83" s="204"/>
      <c r="O83" s="205"/>
      <c r="P83" s="203">
        <f>SUM(P84:P88)</f>
        <v>0</v>
      </c>
      <c r="Q83" s="204"/>
      <c r="R83" s="205"/>
      <c r="S83" s="203">
        <f>SUM(S84:S88)</f>
        <v>0</v>
      </c>
      <c r="T83" s="204"/>
      <c r="U83" s="205"/>
      <c r="V83" s="199">
        <f t="shared" ref="V83:V119" si="2">SUM(D83:S83)</f>
        <v>0</v>
      </c>
      <c r="W83" s="200"/>
      <c r="X83" s="200"/>
    </row>
    <row r="84" spans="1:24">
      <c r="A84" s="210" t="s">
        <v>104</v>
      </c>
      <c r="B84" s="210"/>
      <c r="C84" s="210"/>
      <c r="D84" s="206">
        <f>SUMIF('PB3'!$J$3:$J$201,"D1.3.1-Staff Costs",'PB3'!$I$3:$I$201)</f>
        <v>0</v>
      </c>
      <c r="E84" s="207"/>
      <c r="F84" s="208"/>
      <c r="G84" s="206">
        <f>SUMIF('PB3'!$J$3:$J$201,"D1.3.1-Office and Administration",'PB3'!$I$3:$I$201)</f>
        <v>0</v>
      </c>
      <c r="H84" s="207"/>
      <c r="I84" s="208"/>
      <c r="J84" s="206">
        <f>SUMIF('PB3'!$J$3:$J$201,"D1.3.1-Travel and Accommodation",'PB3'!$I$3:$I$201)</f>
        <v>0</v>
      </c>
      <c r="K84" s="207"/>
      <c r="L84" s="208"/>
      <c r="M84" s="206">
        <f>SUMIF('PB3'!$J$3:$J$201,"D1.3.1-External Expertise and Services",'PB3'!$I$3:$I$201)</f>
        <v>0</v>
      </c>
      <c r="N84" s="207"/>
      <c r="O84" s="208"/>
      <c r="P84" s="206">
        <f>SUMIF('PB3'!$J$3:$J$201,"D1.3.1-Equipment",'PB3'!$I$3:$I$201)</f>
        <v>0</v>
      </c>
      <c r="Q84" s="207"/>
      <c r="R84" s="208"/>
      <c r="S84" s="206">
        <f>SUMIF('PB3'!$J$3:$J$201,"D1.3.1-Infrastructure and Works",'PB3'!$I$3:$I$201)</f>
        <v>0</v>
      </c>
      <c r="T84" s="207"/>
      <c r="U84" s="208"/>
      <c r="V84" s="201">
        <f t="shared" si="2"/>
        <v>0</v>
      </c>
      <c r="W84" s="202"/>
      <c r="X84" s="202"/>
    </row>
    <row r="85" spans="1:24">
      <c r="A85" s="210" t="s">
        <v>110</v>
      </c>
      <c r="B85" s="210"/>
      <c r="C85" s="210"/>
      <c r="D85" s="206">
        <f>SUMIF('PB3'!$J$3:$J$201,"D1.3.2-Staff Costs",'PB3'!$I$3:$I$201)</f>
        <v>0</v>
      </c>
      <c r="E85" s="207"/>
      <c r="F85" s="208"/>
      <c r="G85" s="206">
        <f>SUMIF('PB3'!$J$3:$J$201,"D1.3.2-Office and Administration",'PB3'!$I$3:$I$201)</f>
        <v>0</v>
      </c>
      <c r="H85" s="207"/>
      <c r="I85" s="208"/>
      <c r="J85" s="206">
        <f>SUMIF('PB3'!$J$3:$J$201,"D1.3.2-Travel and Accommodation",'PB3'!$I$3:$I$201)</f>
        <v>0</v>
      </c>
      <c r="K85" s="207"/>
      <c r="L85" s="208"/>
      <c r="M85" s="206">
        <f>SUMIF('PB3'!$J$3:$J$201,"D1.3.2-External Expertise and Services",'PB3'!$I$3:$I$201)</f>
        <v>0</v>
      </c>
      <c r="N85" s="207"/>
      <c r="O85" s="208"/>
      <c r="P85" s="206">
        <f>SUMIF('PB3'!$J$3:$J$201,"D1.3.2-Equipment",'PB3'!$I$3:$I$201)</f>
        <v>0</v>
      </c>
      <c r="Q85" s="207"/>
      <c r="R85" s="208"/>
      <c r="S85" s="206">
        <f>SUMIF('PB3'!$J$3:$J$201,"D1.3.2-Infrastructure and Works",'PB3'!$I$3:$I$201)</f>
        <v>0</v>
      </c>
      <c r="T85" s="207"/>
      <c r="U85" s="208"/>
      <c r="V85" s="201">
        <f t="shared" si="2"/>
        <v>0</v>
      </c>
      <c r="W85" s="202"/>
      <c r="X85" s="202"/>
    </row>
    <row r="86" spans="1:24">
      <c r="A86" s="210" t="s">
        <v>116</v>
      </c>
      <c r="B86" s="210" t="s">
        <v>35</v>
      </c>
      <c r="C86" s="210" t="s">
        <v>35</v>
      </c>
      <c r="D86" s="206">
        <f>SUMIF('PB3'!$J$3:$J$201,"D1.3.3-Staff Costs",'PB3'!$I$3:$I$201)</f>
        <v>0</v>
      </c>
      <c r="E86" s="207"/>
      <c r="F86" s="208"/>
      <c r="G86" s="206">
        <f>SUMIF('PB3'!$J$3:$J$201,"D1.3.3-Office and Administration",'PB3'!$I$3:$I$201)</f>
        <v>0</v>
      </c>
      <c r="H86" s="207"/>
      <c r="I86" s="208"/>
      <c r="J86" s="206">
        <f>SUMIF('PB3'!$J$3:$J$201,"D1.3.3-Travel and Accommodation",'PB3'!$I$3:$I$201)</f>
        <v>0</v>
      </c>
      <c r="K86" s="207"/>
      <c r="L86" s="208"/>
      <c r="M86" s="206">
        <f>SUMIF('PB3'!$J$3:$J$201,"D1.3.3-External Expertise and Services",'PB3'!$I$3:$I$201)</f>
        <v>0</v>
      </c>
      <c r="N86" s="207"/>
      <c r="O86" s="208"/>
      <c r="P86" s="206">
        <f>SUMIF('PB3'!$J$3:$J$201,"D1.3.3-Equipment",'PB3'!$I$3:$I$201)</f>
        <v>0</v>
      </c>
      <c r="Q86" s="207"/>
      <c r="R86" s="208"/>
      <c r="S86" s="206">
        <f>SUMIF('PB3'!$J$3:$J$201,"D1.3.3-Infrastructure and Works",'PB3'!$I$3:$I$201)</f>
        <v>0</v>
      </c>
      <c r="T86" s="207"/>
      <c r="U86" s="208"/>
      <c r="V86" s="201">
        <f t="shared" si="2"/>
        <v>0</v>
      </c>
      <c r="W86" s="202"/>
      <c r="X86" s="202"/>
    </row>
    <row r="87" spans="1:24">
      <c r="A87" s="210" t="s">
        <v>122</v>
      </c>
      <c r="B87" s="210" t="s">
        <v>36</v>
      </c>
      <c r="C87" s="210" t="s">
        <v>36</v>
      </c>
      <c r="D87" s="206">
        <f>SUMIF('PB3'!$J$3:$J$201,"D1.3.4-Staff Costs",'PB3'!$I$3:$I$201)</f>
        <v>0</v>
      </c>
      <c r="E87" s="207"/>
      <c r="F87" s="208"/>
      <c r="G87" s="206">
        <f>SUMIF('PB3'!$J$3:$J$201,"D1.3.4-Office and Administration",'PB3'!$I$3:$I$201)</f>
        <v>0</v>
      </c>
      <c r="H87" s="207"/>
      <c r="I87" s="208"/>
      <c r="J87" s="206">
        <f>SUMIF('PB3'!$J$3:$J$201,"D1.3.4-Travel and Accommodation",'PB3'!$I$3:$I$201)</f>
        <v>0</v>
      </c>
      <c r="K87" s="207"/>
      <c r="L87" s="208"/>
      <c r="M87" s="206">
        <f>SUMIF('PB3'!$J$3:$J$201,"D1.3.4-External Expertise and Services",'PB3'!$I$3:$I$201)</f>
        <v>0</v>
      </c>
      <c r="N87" s="207"/>
      <c r="O87" s="208"/>
      <c r="P87" s="206">
        <f>SUMIF('PB3'!$J$3:$J$201,"D1.3.4-Equipment",'PB3'!$I$3:$I$201)</f>
        <v>0</v>
      </c>
      <c r="Q87" s="207"/>
      <c r="R87" s="208"/>
      <c r="S87" s="206">
        <f>SUMIF('PB3'!$J$3:$J$201,"D1.3.4-Infrastructure and Works",'PB3'!$I$3:$I$201)</f>
        <v>0</v>
      </c>
      <c r="T87" s="207"/>
      <c r="U87" s="208"/>
      <c r="V87" s="201">
        <f t="shared" si="2"/>
        <v>0</v>
      </c>
      <c r="W87" s="202"/>
      <c r="X87" s="202"/>
    </row>
    <row r="88" spans="1:24">
      <c r="A88" s="210" t="s">
        <v>128</v>
      </c>
      <c r="B88" s="210" t="s">
        <v>37</v>
      </c>
      <c r="C88" s="210" t="s">
        <v>37</v>
      </c>
      <c r="D88" s="206">
        <f>SUMIF('PB3'!$J$3:$J$201,"D1.3.5-Staff Costs",'PB3'!$I$3:$I$201)</f>
        <v>0</v>
      </c>
      <c r="E88" s="207"/>
      <c r="F88" s="208"/>
      <c r="G88" s="206">
        <f>SUMIF('PB3'!$J$3:$J$201,"D1.3.5-Office and Administration",'PB3'!$I$3:$I$201)</f>
        <v>0</v>
      </c>
      <c r="H88" s="207"/>
      <c r="I88" s="208"/>
      <c r="J88" s="206">
        <f>SUMIF('PB3'!$J$3:$J$201,"D1.3.5-Travel and Accommodation",'PB3'!$I$3:$I$201)</f>
        <v>0</v>
      </c>
      <c r="K88" s="207"/>
      <c r="L88" s="208"/>
      <c r="M88" s="206">
        <f>SUMIF('PB3'!$J$3:$J$201,"D1.3.5-External Expertise and Services",'PB3'!$I$3:$I$201)</f>
        <v>0</v>
      </c>
      <c r="N88" s="207"/>
      <c r="O88" s="208"/>
      <c r="P88" s="206">
        <f>SUMIF('PB3'!$J$3:$J$201,"D1.3.5-Equipment",'PB3'!$I$3:$I$201)</f>
        <v>0</v>
      </c>
      <c r="Q88" s="207"/>
      <c r="R88" s="208"/>
      <c r="S88" s="206">
        <f>SUMIF('PB3'!$J$3:$J$201,"D1.3.5-Infrastructure and Works",'PB3'!$I$3:$I$201)</f>
        <v>0</v>
      </c>
      <c r="T88" s="207"/>
      <c r="U88" s="208"/>
      <c r="V88" s="201">
        <f t="shared" si="2"/>
        <v>0</v>
      </c>
      <c r="W88" s="202"/>
      <c r="X88" s="202"/>
    </row>
    <row r="89" spans="1:24">
      <c r="A89" s="213" t="s">
        <v>416</v>
      </c>
      <c r="B89" s="213"/>
      <c r="C89" s="213"/>
      <c r="D89" s="203">
        <f>SUM(D90:D94)</f>
        <v>0</v>
      </c>
      <c r="E89" s="204"/>
      <c r="F89" s="205"/>
      <c r="G89" s="203">
        <f>SUM(G90:G94)</f>
        <v>0</v>
      </c>
      <c r="H89" s="204"/>
      <c r="I89" s="205"/>
      <c r="J89" s="203">
        <f>SUM(J90:J94)</f>
        <v>0</v>
      </c>
      <c r="K89" s="204"/>
      <c r="L89" s="205"/>
      <c r="M89" s="203">
        <f>SUM(M90:M94)</f>
        <v>0</v>
      </c>
      <c r="N89" s="204"/>
      <c r="O89" s="205"/>
      <c r="P89" s="203">
        <f>SUM(P90:P94)</f>
        <v>0</v>
      </c>
      <c r="Q89" s="204"/>
      <c r="R89" s="205"/>
      <c r="S89" s="203">
        <f>SUM(S90:S94)</f>
        <v>0</v>
      </c>
      <c r="T89" s="204"/>
      <c r="U89" s="205"/>
      <c r="V89" s="199">
        <f t="shared" si="2"/>
        <v>0</v>
      </c>
      <c r="W89" s="200"/>
      <c r="X89" s="200"/>
    </row>
    <row r="90" spans="1:24">
      <c r="A90" s="210" t="s">
        <v>105</v>
      </c>
      <c r="B90" s="210" t="s">
        <v>38</v>
      </c>
      <c r="C90" s="210" t="s">
        <v>38</v>
      </c>
      <c r="D90" s="206">
        <f>SUMIF('PB3'!$J$3:$J$201,"D2.3.1-Staff Costs",'PB3'!$I$3:$I$201)</f>
        <v>0</v>
      </c>
      <c r="E90" s="207"/>
      <c r="F90" s="208"/>
      <c r="G90" s="206">
        <f>SUMIF('PB3'!$J$3:$J$201,"D2.3.1-Office and Administration",'PB3'!$I$3:$I$201)</f>
        <v>0</v>
      </c>
      <c r="H90" s="207"/>
      <c r="I90" s="208"/>
      <c r="J90" s="206">
        <f>SUMIF('PB3'!$J$3:$J$201,"D2.3.1-Travel and Accommodation",'PB3'!$I$3:$I$201)</f>
        <v>0</v>
      </c>
      <c r="K90" s="207"/>
      <c r="L90" s="208"/>
      <c r="M90" s="206">
        <f>SUMIF('PB3'!$J$3:$J$201,"D2.3.1-External Expertise and Services",'PB3'!$I$3:$I$201)</f>
        <v>0</v>
      </c>
      <c r="N90" s="207"/>
      <c r="O90" s="208"/>
      <c r="P90" s="206">
        <f>SUMIF('PB3'!$J$3:$J$201,"D2.3.1-Equipment",'PB3'!$I$3:$I$201)</f>
        <v>0</v>
      </c>
      <c r="Q90" s="207"/>
      <c r="R90" s="208"/>
      <c r="S90" s="206">
        <f>SUMIF('PB3'!$J$3:$J$201,"D2.3.1-Infrastructure and Works",'PB3'!$I$3:$I$201)</f>
        <v>0</v>
      </c>
      <c r="T90" s="207"/>
      <c r="U90" s="208"/>
      <c r="V90" s="201">
        <f t="shared" si="2"/>
        <v>0</v>
      </c>
      <c r="W90" s="202"/>
      <c r="X90" s="202"/>
    </row>
    <row r="91" spans="1:24">
      <c r="A91" s="210" t="s">
        <v>111</v>
      </c>
      <c r="B91" s="210" t="s">
        <v>39</v>
      </c>
      <c r="C91" s="210" t="s">
        <v>39</v>
      </c>
      <c r="D91" s="206">
        <f>SUMIF('PB3'!$J$3:$J$201,"D2.3.2-Staff Costs",'PB3'!$I$3:$I$201)</f>
        <v>0</v>
      </c>
      <c r="E91" s="207"/>
      <c r="F91" s="208"/>
      <c r="G91" s="206">
        <f>SUMIF('PB3'!$J$3:$J$201,"D2.3.2-Office and Administration",'PB3'!$I$3:$I$201)</f>
        <v>0</v>
      </c>
      <c r="H91" s="207"/>
      <c r="I91" s="208"/>
      <c r="J91" s="206">
        <f>SUMIF('PB3'!$J$3:$J$201,"D2.3.2-Travel and Accommodation",'PB3'!$I$3:$I$201)</f>
        <v>0</v>
      </c>
      <c r="K91" s="207"/>
      <c r="L91" s="208"/>
      <c r="M91" s="206">
        <f>SUMIF('PB3'!$J$3:$J$201,"D2.3.2-External Expertise and Services",'PB3'!$I$3:$I$201)</f>
        <v>0</v>
      </c>
      <c r="N91" s="207"/>
      <c r="O91" s="208"/>
      <c r="P91" s="206">
        <f>SUMIF('PB3'!$J$3:$J$201,"D2.3.2-Equipment",'PB3'!$I$3:$I$201)</f>
        <v>0</v>
      </c>
      <c r="Q91" s="207"/>
      <c r="R91" s="208"/>
      <c r="S91" s="206">
        <f>SUMIF('PB3'!$J$3:$J$201,"D2.3.2-Infrastructure and Works",'PB3'!$I$3:$I$201)</f>
        <v>0</v>
      </c>
      <c r="T91" s="207"/>
      <c r="U91" s="208"/>
      <c r="V91" s="201">
        <f t="shared" si="2"/>
        <v>0</v>
      </c>
      <c r="W91" s="202"/>
      <c r="X91" s="202"/>
    </row>
    <row r="92" spans="1:24">
      <c r="A92" s="210" t="s">
        <v>117</v>
      </c>
      <c r="B92" s="210" t="s">
        <v>40</v>
      </c>
      <c r="C92" s="210" t="s">
        <v>40</v>
      </c>
      <c r="D92" s="206">
        <f>SUMIF('PB3'!$J$3:$J$201,"D2.3.3-Staff Costs",'PB3'!$I$3:$I$201)</f>
        <v>0</v>
      </c>
      <c r="E92" s="207"/>
      <c r="F92" s="208"/>
      <c r="G92" s="206">
        <f>SUMIF('PB3'!$J$3:$J$201,"D2.3.3-Office and Administration",'PB3'!$I$3:$I$201)</f>
        <v>0</v>
      </c>
      <c r="H92" s="207"/>
      <c r="I92" s="208"/>
      <c r="J92" s="206">
        <f>SUMIF('PB3'!$J$3:$J$201,"D2.3.3-Travel and Accommodation",'PB3'!$I$3:$I$201)</f>
        <v>0</v>
      </c>
      <c r="K92" s="207"/>
      <c r="L92" s="208"/>
      <c r="M92" s="206">
        <f>SUMIF('PB3'!$J$3:$J$201,"D2.3.3-External Expertise and Services",'PB3'!$I$3:$I$201)</f>
        <v>0</v>
      </c>
      <c r="N92" s="207"/>
      <c r="O92" s="208"/>
      <c r="P92" s="206">
        <f>SUMIF('PB3'!$J$3:$J$201,"D2.3.3-Equipment",'PB3'!$I$3:$I$201)</f>
        <v>0</v>
      </c>
      <c r="Q92" s="207"/>
      <c r="R92" s="208"/>
      <c r="S92" s="206">
        <f>SUMIF('PB3'!$J$3:$J$201,"D2.3.3-Infrastructure and Works",'PB3'!$I$3:$I$201)</f>
        <v>0</v>
      </c>
      <c r="T92" s="207"/>
      <c r="U92" s="208"/>
      <c r="V92" s="201">
        <f t="shared" si="2"/>
        <v>0</v>
      </c>
      <c r="W92" s="202"/>
      <c r="X92" s="202"/>
    </row>
    <row r="93" spans="1:24">
      <c r="A93" s="210" t="s">
        <v>123</v>
      </c>
      <c r="B93" s="210" t="s">
        <v>41</v>
      </c>
      <c r="C93" s="210" t="s">
        <v>41</v>
      </c>
      <c r="D93" s="206">
        <f>SUMIF('PB3'!$J$3:$J$201,"D2.3.4-Staff Costs",'PB3'!$I$3:$I$201)</f>
        <v>0</v>
      </c>
      <c r="E93" s="207"/>
      <c r="F93" s="208"/>
      <c r="G93" s="206">
        <f>SUMIF('PB3'!$J$3:$J$201,"D2.3.4-Office and Administration",'PB3'!$I$3:$I$201)</f>
        <v>0</v>
      </c>
      <c r="H93" s="207"/>
      <c r="I93" s="208"/>
      <c r="J93" s="206">
        <f>SUMIF('PB3'!$J$3:$J$201,"D2.3.4-Travel and Accommodation",'PB3'!$I$3:$I$201)</f>
        <v>0</v>
      </c>
      <c r="K93" s="207"/>
      <c r="L93" s="208"/>
      <c r="M93" s="206">
        <f>SUMIF('PB3'!$J$3:$J$201,"D2.3.4-External Expertise and Services",'PB3'!$I$3:$I$201)</f>
        <v>0</v>
      </c>
      <c r="N93" s="207"/>
      <c r="O93" s="208"/>
      <c r="P93" s="206">
        <f>SUMIF('PB3'!$J$3:$J$201,"D2.3.4-Equipment",'PB3'!$I$3:$I$201)</f>
        <v>0</v>
      </c>
      <c r="Q93" s="207"/>
      <c r="R93" s="208"/>
      <c r="S93" s="206">
        <f>SUMIF('PB3'!$J$3:$J$201,"D2.3.4-Infrastructure and Works",'PB3'!$I$3:$I$201)</f>
        <v>0</v>
      </c>
      <c r="T93" s="207"/>
      <c r="U93" s="208"/>
      <c r="V93" s="201">
        <f t="shared" si="2"/>
        <v>0</v>
      </c>
      <c r="W93" s="202"/>
      <c r="X93" s="202"/>
    </row>
    <row r="94" spans="1:24">
      <c r="A94" s="210" t="s">
        <v>129</v>
      </c>
      <c r="B94" s="210" t="s">
        <v>42</v>
      </c>
      <c r="C94" s="210" t="s">
        <v>42</v>
      </c>
      <c r="D94" s="206">
        <f>SUMIF('PB3'!$J$3:$J$201,"D2.3.5-Staff Costs",'PB3'!$I$3:$I$201)</f>
        <v>0</v>
      </c>
      <c r="E94" s="207"/>
      <c r="F94" s="208"/>
      <c r="G94" s="206">
        <f>SUMIF('PB3'!$J$3:$J$201,"D2.3.5-Office and Administration",'PB3'!$I$3:$I$201)</f>
        <v>0</v>
      </c>
      <c r="H94" s="207"/>
      <c r="I94" s="208"/>
      <c r="J94" s="206">
        <f>SUMIF('PB3'!$J$3:$J$201,"D2.3.5-Travel and Accommodation",'PB3'!$I$3:$I$201)</f>
        <v>0</v>
      </c>
      <c r="K94" s="207"/>
      <c r="L94" s="208"/>
      <c r="M94" s="206">
        <f>SUMIF('PB3'!$J$3:$J$201,"D2.3.5-External Expertise and Services",'PB3'!$I$3:$I$201)</f>
        <v>0</v>
      </c>
      <c r="N94" s="207"/>
      <c r="O94" s="208"/>
      <c r="P94" s="206">
        <f>SUMIF('PB3'!$J$3:$J$201,"D2.3.5-Equipment",'PB3'!$I$3:$I$201)</f>
        <v>0</v>
      </c>
      <c r="Q94" s="207"/>
      <c r="R94" s="208"/>
      <c r="S94" s="206">
        <f>SUMIF('PB3'!$J$3:$J$201,"D2.3.5-Infrastructure and Works",'PB3'!$I$3:$I$201)</f>
        <v>0</v>
      </c>
      <c r="T94" s="207"/>
      <c r="U94" s="208"/>
      <c r="V94" s="201">
        <f t="shared" si="2"/>
        <v>0</v>
      </c>
      <c r="W94" s="202"/>
      <c r="X94" s="202"/>
    </row>
    <row r="95" spans="1:24">
      <c r="A95" s="213" t="s">
        <v>417</v>
      </c>
      <c r="B95" s="213"/>
      <c r="C95" s="213" t="s">
        <v>418</v>
      </c>
      <c r="D95" s="203">
        <f>SUM(D96:D100)</f>
        <v>0</v>
      </c>
      <c r="E95" s="204"/>
      <c r="F95" s="205"/>
      <c r="G95" s="203">
        <f>SUM(G96:G100)</f>
        <v>0</v>
      </c>
      <c r="H95" s="204"/>
      <c r="I95" s="205"/>
      <c r="J95" s="203">
        <f>SUM(J96:J100)</f>
        <v>0</v>
      </c>
      <c r="K95" s="204"/>
      <c r="L95" s="205"/>
      <c r="M95" s="203">
        <f>SUM(M96:M100)</f>
        <v>0</v>
      </c>
      <c r="N95" s="204"/>
      <c r="O95" s="205"/>
      <c r="P95" s="203">
        <f>SUM(P96:P100)</f>
        <v>0</v>
      </c>
      <c r="Q95" s="204"/>
      <c r="R95" s="205"/>
      <c r="S95" s="203">
        <f>SUM(S96:S100)</f>
        <v>0</v>
      </c>
      <c r="T95" s="204"/>
      <c r="U95" s="205"/>
      <c r="V95" s="199">
        <f t="shared" si="2"/>
        <v>0</v>
      </c>
      <c r="W95" s="200"/>
      <c r="X95" s="200"/>
    </row>
    <row r="96" spans="1:24">
      <c r="A96" s="210" t="s">
        <v>106</v>
      </c>
      <c r="B96" s="210" t="s">
        <v>43</v>
      </c>
      <c r="C96" s="210" t="s">
        <v>43</v>
      </c>
      <c r="D96" s="206">
        <f>SUMIF('PB3'!$J$3:$J$201,"D3.3.1-Staff Costs",'PB3'!$I$3:$I$201)</f>
        <v>0</v>
      </c>
      <c r="E96" s="207"/>
      <c r="F96" s="208"/>
      <c r="G96" s="206">
        <f>SUMIF('PB3'!$J$3:$J$201,"D3.3.1-Office and Administration",'PB3'!$I$3:$I$201)</f>
        <v>0</v>
      </c>
      <c r="H96" s="207"/>
      <c r="I96" s="208"/>
      <c r="J96" s="206">
        <f>SUMIF('PB3'!$J$3:$J$201,"D3.3.1-Travel and Accommodation",'PB3'!$I$3:$I$201)</f>
        <v>0</v>
      </c>
      <c r="K96" s="207"/>
      <c r="L96" s="208"/>
      <c r="M96" s="206">
        <f>SUMIF('PB3'!$J$3:$J$201,"D3.3.1-External Expertise and Services",'PB3'!$I$3:$I$201)</f>
        <v>0</v>
      </c>
      <c r="N96" s="207"/>
      <c r="O96" s="208"/>
      <c r="P96" s="206">
        <f>SUMIF('PB3'!$J$3:$J$201,"D3.3.1-Equipment",'PB3'!$I$3:$I$201)</f>
        <v>0</v>
      </c>
      <c r="Q96" s="207"/>
      <c r="R96" s="208"/>
      <c r="S96" s="206">
        <f>SUMIF('PB3'!$J$3:$J$201,"D3.3.1-Infrastructure and Works",'PB3'!$I$3:$I$201)</f>
        <v>0</v>
      </c>
      <c r="T96" s="207"/>
      <c r="U96" s="208"/>
      <c r="V96" s="201">
        <f t="shared" si="2"/>
        <v>0</v>
      </c>
      <c r="W96" s="202"/>
      <c r="X96" s="202"/>
    </row>
    <row r="97" spans="1:24">
      <c r="A97" s="210" t="s">
        <v>112</v>
      </c>
      <c r="B97" s="210" t="s">
        <v>44</v>
      </c>
      <c r="C97" s="210" t="s">
        <v>44</v>
      </c>
      <c r="D97" s="206">
        <f>SUMIF('PB3'!$J$3:$J$201,"D3.3.2-Staff Costs",'PB3'!$I$3:$I$201)</f>
        <v>0</v>
      </c>
      <c r="E97" s="207"/>
      <c r="F97" s="208"/>
      <c r="G97" s="206">
        <f>SUMIF('PB3'!$J$3:$J$201,"D3.3.2-Office and Administration",'PB3'!$I$3:$I$201)</f>
        <v>0</v>
      </c>
      <c r="H97" s="207"/>
      <c r="I97" s="208"/>
      <c r="J97" s="206">
        <f>SUMIF('PB3'!$J$3:$J$201,"D3.3.2-Travel and Accommodation",'PB3'!$I$3:$I$201)</f>
        <v>0</v>
      </c>
      <c r="K97" s="207"/>
      <c r="L97" s="208"/>
      <c r="M97" s="206">
        <f>SUMIF('PB3'!$J$3:$J$201,"D3.3.2-External Expertise and Services",'PB3'!$I$3:$I$201)</f>
        <v>0</v>
      </c>
      <c r="N97" s="207"/>
      <c r="O97" s="208"/>
      <c r="P97" s="206">
        <f>SUMIF('PB3'!$J$3:$J$201,"D3.3.2-Equipment",'PB3'!$I$3:$I$201)</f>
        <v>0</v>
      </c>
      <c r="Q97" s="207"/>
      <c r="R97" s="208"/>
      <c r="S97" s="206">
        <f>SUMIF('PB3'!$J$3:$J$201,"D3.3.2-Infrastructure and Works",'PB3'!$I$3:$I$201)</f>
        <v>0</v>
      </c>
      <c r="T97" s="207"/>
      <c r="U97" s="208"/>
      <c r="V97" s="201">
        <f t="shared" si="2"/>
        <v>0</v>
      </c>
      <c r="W97" s="202"/>
      <c r="X97" s="202"/>
    </row>
    <row r="98" spans="1:24">
      <c r="A98" s="210" t="s">
        <v>118</v>
      </c>
      <c r="B98" s="210" t="s">
        <v>45</v>
      </c>
      <c r="C98" s="210" t="s">
        <v>45</v>
      </c>
      <c r="D98" s="206">
        <f>SUMIF('PB3'!$J$3:$J$201,"D3.3.3-Staff Costs",'PB3'!$I$3:$I$201)</f>
        <v>0</v>
      </c>
      <c r="E98" s="207"/>
      <c r="F98" s="208"/>
      <c r="G98" s="206">
        <f>SUMIF('PB3'!$J$3:$J$201,"D3.3.3-Office and Administration",'PB3'!$I$3:$I$201)</f>
        <v>0</v>
      </c>
      <c r="H98" s="207"/>
      <c r="I98" s="208"/>
      <c r="J98" s="206">
        <f>SUMIF('PB3'!$J$3:$J$201,"D3.3.3-Travel and Accommodation",'PB3'!$I$3:$I$201)</f>
        <v>0</v>
      </c>
      <c r="K98" s="207"/>
      <c r="L98" s="208"/>
      <c r="M98" s="206">
        <f>SUMIF('PB3'!$J$3:$J$201,"D3.3.3-External Expertise and Services",'PB3'!$I$3:$I$201)</f>
        <v>0</v>
      </c>
      <c r="N98" s="207"/>
      <c r="O98" s="208"/>
      <c r="P98" s="206">
        <f>SUMIF('PB3'!$J$3:$J$201,"D3.3.3-Equipment",'PB3'!$I$3:$I$201)</f>
        <v>0</v>
      </c>
      <c r="Q98" s="207"/>
      <c r="R98" s="208"/>
      <c r="S98" s="206">
        <f>SUMIF('PB3'!$J$3:$J$201,"D3.3.3-Infrastructure and Works",'PB3'!$I$3:$I$201)</f>
        <v>0</v>
      </c>
      <c r="T98" s="207"/>
      <c r="U98" s="208"/>
      <c r="V98" s="201">
        <f t="shared" si="2"/>
        <v>0</v>
      </c>
      <c r="W98" s="202"/>
      <c r="X98" s="202"/>
    </row>
    <row r="99" spans="1:24">
      <c r="A99" s="210" t="s">
        <v>124</v>
      </c>
      <c r="B99" s="210" t="s">
        <v>46</v>
      </c>
      <c r="C99" s="210" t="s">
        <v>46</v>
      </c>
      <c r="D99" s="206">
        <f>SUMIF('PB3'!$J$3:$J$201,"D3.3.4-Staff Costs",'PB3'!$I$3:$I$201)</f>
        <v>0</v>
      </c>
      <c r="E99" s="207"/>
      <c r="F99" s="208"/>
      <c r="G99" s="206">
        <f>SUMIF('PB3'!$J$3:$J$201,"D3.3.4-Office and Administration",'PB3'!$I$3:$I$201)</f>
        <v>0</v>
      </c>
      <c r="H99" s="207"/>
      <c r="I99" s="208"/>
      <c r="J99" s="206">
        <f>SUMIF('PB3'!$J$3:$J$201,"D3.3.4-Travel and Accommodation",'PB3'!$I$3:$I$201)</f>
        <v>0</v>
      </c>
      <c r="K99" s="207"/>
      <c r="L99" s="208"/>
      <c r="M99" s="206">
        <f>SUMIF('PB3'!$J$3:$J$201,"D3.3.4-External Expertise and Services",'PB3'!$I$3:$I$201)</f>
        <v>0</v>
      </c>
      <c r="N99" s="207"/>
      <c r="O99" s="208"/>
      <c r="P99" s="206">
        <f>SUMIF('PB3'!$J$3:$J$201,"D3.3.4-Equipment",'PB3'!$I$3:$I$201)</f>
        <v>0</v>
      </c>
      <c r="Q99" s="207"/>
      <c r="R99" s="208"/>
      <c r="S99" s="206">
        <f>SUMIF('PB3'!$J$3:$J$201,"D3.3.4-Infrastructure and Works",'PB3'!$I$3:$I$201)</f>
        <v>0</v>
      </c>
      <c r="T99" s="207"/>
      <c r="U99" s="208"/>
      <c r="V99" s="201">
        <f t="shared" si="2"/>
        <v>0</v>
      </c>
      <c r="W99" s="202"/>
      <c r="X99" s="202"/>
    </row>
    <row r="100" spans="1:24">
      <c r="A100" s="210" t="s">
        <v>130</v>
      </c>
      <c r="B100" s="210" t="s">
        <v>47</v>
      </c>
      <c r="C100" s="210" t="s">
        <v>47</v>
      </c>
      <c r="D100" s="206">
        <f>SUMIF('PB3'!$J$3:$J$201,"D3.3.5-Staff Costs",'PB3'!$I$3:$I$201)</f>
        <v>0</v>
      </c>
      <c r="E100" s="207"/>
      <c r="F100" s="208"/>
      <c r="G100" s="206">
        <f>SUMIF('PB3'!$J$3:$J$201,"D3.3.5-Office and Administration",'PB3'!$I$3:$I$201)</f>
        <v>0</v>
      </c>
      <c r="H100" s="207"/>
      <c r="I100" s="208"/>
      <c r="J100" s="206">
        <f>SUMIF('PB3'!$J$3:$J$201,"D3.3.5-Travel and Accommodation",'PB3'!$I$3:$I$201)</f>
        <v>0</v>
      </c>
      <c r="K100" s="207"/>
      <c r="L100" s="208"/>
      <c r="M100" s="206">
        <f>SUMIF('PB3'!$J$3:$J$201,"D3.3.5-External Expertise and Services",'PB3'!$I$3:$I$201)</f>
        <v>0</v>
      </c>
      <c r="N100" s="207"/>
      <c r="O100" s="208"/>
      <c r="P100" s="206">
        <f>SUMIF('PB3'!$J$3:$J$201,"D3.3.5-Equipment",'PB3'!$I$3:$I$201)</f>
        <v>0</v>
      </c>
      <c r="Q100" s="207"/>
      <c r="R100" s="208"/>
      <c r="S100" s="206">
        <f>SUMIF('PB3'!$J$3:$J$201,"D3.3.5-Infrastructure and Works",'PB3'!$I$3:$I$201)</f>
        <v>0</v>
      </c>
      <c r="T100" s="207"/>
      <c r="U100" s="208"/>
      <c r="V100" s="201">
        <f t="shared" si="2"/>
        <v>0</v>
      </c>
      <c r="W100" s="202"/>
      <c r="X100" s="202"/>
    </row>
    <row r="101" spans="1:24">
      <c r="A101" s="213" t="s">
        <v>419</v>
      </c>
      <c r="B101" s="213"/>
      <c r="C101" s="213" t="s">
        <v>418</v>
      </c>
      <c r="D101" s="203">
        <f>SUM(D102:D106)</f>
        <v>0</v>
      </c>
      <c r="E101" s="204"/>
      <c r="F101" s="205"/>
      <c r="G101" s="203">
        <f>SUM(G102:G106)</f>
        <v>0</v>
      </c>
      <c r="H101" s="204"/>
      <c r="I101" s="205"/>
      <c r="J101" s="203">
        <f>SUM(J102:J106)</f>
        <v>0</v>
      </c>
      <c r="K101" s="204"/>
      <c r="L101" s="205"/>
      <c r="M101" s="203">
        <f>SUM(M102:M106)</f>
        <v>0</v>
      </c>
      <c r="N101" s="204"/>
      <c r="O101" s="205"/>
      <c r="P101" s="203">
        <f>SUM(P102:P106)</f>
        <v>0</v>
      </c>
      <c r="Q101" s="204"/>
      <c r="R101" s="205"/>
      <c r="S101" s="203">
        <f>SUM(S102:S106)</f>
        <v>0</v>
      </c>
      <c r="T101" s="204"/>
      <c r="U101" s="205"/>
      <c r="V101" s="199">
        <f t="shared" si="2"/>
        <v>0</v>
      </c>
      <c r="W101" s="200"/>
      <c r="X101" s="200"/>
    </row>
    <row r="102" spans="1:24">
      <c r="A102" s="210" t="s">
        <v>107</v>
      </c>
      <c r="B102" s="210" t="s">
        <v>48</v>
      </c>
      <c r="C102" s="210" t="s">
        <v>48</v>
      </c>
      <c r="D102" s="206">
        <f>SUMIF('PB3'!$J$3:$J$201,"D4.3.1-Staff Costs",'PB3'!$I$3:$I$201)</f>
        <v>0</v>
      </c>
      <c r="E102" s="207"/>
      <c r="F102" s="208"/>
      <c r="G102" s="206">
        <f>SUMIF('PB3'!$J$3:$J$201,"D4.3.1-Office and Administration",'PB3'!$I$3:$I$201)</f>
        <v>0</v>
      </c>
      <c r="H102" s="207"/>
      <c r="I102" s="208"/>
      <c r="J102" s="206">
        <f>SUMIF('PB3'!$J$3:$J$201,"D4.3.1-Travel and Accommodation",'PB3'!$I$3:$I$201)</f>
        <v>0</v>
      </c>
      <c r="K102" s="207"/>
      <c r="L102" s="208"/>
      <c r="M102" s="206">
        <f>SUMIF('PB3'!$J$3:$J$201,"D4.3.1-External Expertise and Services",'PB3'!$I$3:$I$201)</f>
        <v>0</v>
      </c>
      <c r="N102" s="207"/>
      <c r="O102" s="208"/>
      <c r="P102" s="206">
        <f>SUMIF('PB3'!$J$3:$J$201,"D4.3.1-Equipment",'PB3'!$I$3:$I$201)</f>
        <v>0</v>
      </c>
      <c r="Q102" s="207"/>
      <c r="R102" s="208"/>
      <c r="S102" s="206">
        <f>SUMIF('PB3'!$J$3:$J$201,"D4.3.1-Infrastructure and Works",'PB3'!$I$3:$I$201)</f>
        <v>0</v>
      </c>
      <c r="T102" s="207"/>
      <c r="U102" s="208"/>
      <c r="V102" s="201">
        <f t="shared" si="2"/>
        <v>0</v>
      </c>
      <c r="W102" s="202"/>
      <c r="X102" s="202"/>
    </row>
    <row r="103" spans="1:24">
      <c r="A103" s="210" t="s">
        <v>113</v>
      </c>
      <c r="B103" s="210" t="s">
        <v>49</v>
      </c>
      <c r="C103" s="210" t="s">
        <v>49</v>
      </c>
      <c r="D103" s="206">
        <f>SUMIF('PB3'!$J$3:$J$201,"D4.3.2-Staff Costs",'PB3'!$I$3:$I$201)</f>
        <v>0</v>
      </c>
      <c r="E103" s="207"/>
      <c r="F103" s="208"/>
      <c r="G103" s="206">
        <f>SUMIF('PB3'!$J$3:$J$201,"D4.3.2-Office and Administration",'PB3'!$I$3:$I$201)</f>
        <v>0</v>
      </c>
      <c r="H103" s="207"/>
      <c r="I103" s="208"/>
      <c r="J103" s="206">
        <f>SUMIF('PB3'!$J$3:$J$201,"D4.3.2-Travel and Accommodation",'PB3'!$I$3:$I$201)</f>
        <v>0</v>
      </c>
      <c r="K103" s="207"/>
      <c r="L103" s="208"/>
      <c r="M103" s="206">
        <f>SUMIF('PB3'!$J$3:$J$201,"D4.3.2-External Expertise and Services",'PB3'!$I$3:$I$201)</f>
        <v>0</v>
      </c>
      <c r="N103" s="207"/>
      <c r="O103" s="208"/>
      <c r="P103" s="206">
        <f>SUMIF('PB3'!$J$3:$J$201,"D4.3.2-Equipment",'PB3'!$I$3:$I$201)</f>
        <v>0</v>
      </c>
      <c r="Q103" s="207"/>
      <c r="R103" s="208"/>
      <c r="S103" s="206">
        <f>SUMIF('PB3'!$J$3:$J$201,"D4.3.2-Infrastructure and Works",'PB3'!$I$3:$I$201)</f>
        <v>0</v>
      </c>
      <c r="T103" s="207"/>
      <c r="U103" s="208"/>
      <c r="V103" s="201">
        <f t="shared" si="2"/>
        <v>0</v>
      </c>
      <c r="W103" s="202"/>
      <c r="X103" s="202"/>
    </row>
    <row r="104" spans="1:24">
      <c r="A104" s="210" t="s">
        <v>119</v>
      </c>
      <c r="B104" s="210" t="s">
        <v>50</v>
      </c>
      <c r="C104" s="210" t="s">
        <v>50</v>
      </c>
      <c r="D104" s="206">
        <f>SUMIF('PB3'!$J$3:$J$201,"D4.3.3-Staff Costs",'PB3'!$I$3:$I$201)</f>
        <v>0</v>
      </c>
      <c r="E104" s="207"/>
      <c r="F104" s="208"/>
      <c r="G104" s="206">
        <f>SUMIF('PB3'!$J$3:$J$201,"D4.3.3-Office and Administration",'PB3'!$I$3:$I$201)</f>
        <v>0</v>
      </c>
      <c r="H104" s="207"/>
      <c r="I104" s="208"/>
      <c r="J104" s="206">
        <f>SUMIF('PB3'!$J$3:$J$201,"D4.3.3-Travel and Accommodation",'PB3'!$I$3:$I$201)</f>
        <v>0</v>
      </c>
      <c r="K104" s="207"/>
      <c r="L104" s="208"/>
      <c r="M104" s="206">
        <f>SUMIF('PB3'!$J$3:$J$201,"D4.3.3-External Expertise and Services",'PB3'!$I$3:$I$201)</f>
        <v>0</v>
      </c>
      <c r="N104" s="207"/>
      <c r="O104" s="208"/>
      <c r="P104" s="206">
        <f>SUMIF('PB3'!$J$3:$J$201,"D4.3.3-Equipment",'PB3'!$I$3:$I$201)</f>
        <v>0</v>
      </c>
      <c r="Q104" s="207"/>
      <c r="R104" s="208"/>
      <c r="S104" s="206">
        <f>SUMIF('PB3'!$J$3:$J$201,"D4.3.3-Infrastructure and Works",'PB3'!$I$3:$I$201)</f>
        <v>0</v>
      </c>
      <c r="T104" s="207"/>
      <c r="U104" s="208"/>
      <c r="V104" s="201">
        <f t="shared" si="2"/>
        <v>0</v>
      </c>
      <c r="W104" s="202"/>
      <c r="X104" s="202"/>
    </row>
    <row r="105" spans="1:24">
      <c r="A105" s="210" t="s">
        <v>125</v>
      </c>
      <c r="B105" s="210" t="s">
        <v>51</v>
      </c>
      <c r="C105" s="210" t="s">
        <v>51</v>
      </c>
      <c r="D105" s="206">
        <f>SUMIF('PB3'!$J$3:$J$201,"D4.3.4-Staff Costs",'PB3'!$I$3:$I$201)</f>
        <v>0</v>
      </c>
      <c r="E105" s="207"/>
      <c r="F105" s="208"/>
      <c r="G105" s="206">
        <f>SUMIF('PB3'!$J$3:$J$201,"D4.3.4-Office and Administration",'PB3'!$I$3:$I$201)</f>
        <v>0</v>
      </c>
      <c r="H105" s="207"/>
      <c r="I105" s="208"/>
      <c r="J105" s="206">
        <f>SUMIF('PB3'!$J$3:$J$201,"D4.3.4-Travel and Accommodation",'PB3'!$I$3:$I$201)</f>
        <v>0</v>
      </c>
      <c r="K105" s="207"/>
      <c r="L105" s="208"/>
      <c r="M105" s="206">
        <f>SUMIF('PB3'!$J$3:$J$201,"D4.3.4-External Expertise and Services",'PB3'!$I$3:$I$201)</f>
        <v>0</v>
      </c>
      <c r="N105" s="207"/>
      <c r="O105" s="208"/>
      <c r="P105" s="206">
        <f>SUMIF('PB3'!$J$3:$J$201,"D4.3.4-Equipment",'PB3'!$I$3:$I$201)</f>
        <v>0</v>
      </c>
      <c r="Q105" s="207"/>
      <c r="R105" s="208"/>
      <c r="S105" s="206">
        <f>SUMIF('PB3'!$J$3:$J$201,"D4.3.4-Infrastructure and Works",'PB3'!$I$3:$I$201)</f>
        <v>0</v>
      </c>
      <c r="T105" s="207"/>
      <c r="U105" s="208"/>
      <c r="V105" s="201">
        <f t="shared" si="2"/>
        <v>0</v>
      </c>
      <c r="W105" s="202"/>
      <c r="X105" s="202"/>
    </row>
    <row r="106" spans="1:24">
      <c r="A106" s="210" t="s">
        <v>131</v>
      </c>
      <c r="B106" s="210" t="s">
        <v>52</v>
      </c>
      <c r="C106" s="210" t="s">
        <v>52</v>
      </c>
      <c r="D106" s="206">
        <f>SUMIF('PB3'!$J$3:$J$201,"D4.3.5-Staff Costs",'PB3'!$I$3:$I$201)</f>
        <v>0</v>
      </c>
      <c r="E106" s="207"/>
      <c r="F106" s="208"/>
      <c r="G106" s="206">
        <f>SUMIF('PB3'!$J$3:$J$201,"D4.3.5-Office and Administration",'PB3'!$I$3:$I$201)</f>
        <v>0</v>
      </c>
      <c r="H106" s="207"/>
      <c r="I106" s="208"/>
      <c r="J106" s="206">
        <f>SUMIF('PB3'!$J$3:$J$201,"D4.3.5-Travel and Accommodation",'PB3'!$I$3:$I$201)</f>
        <v>0</v>
      </c>
      <c r="K106" s="207"/>
      <c r="L106" s="208"/>
      <c r="M106" s="206">
        <f>SUMIF('PB3'!$J$3:$J$201,"D4.3.5-External Expertise and Services",'PB3'!$I$3:$I$201)</f>
        <v>0</v>
      </c>
      <c r="N106" s="207"/>
      <c r="O106" s="208"/>
      <c r="P106" s="206">
        <f>SUMIF('PB3'!$J$3:$J$201,"D4.3.5-Equipment",'PB3'!$I$3:$I$201)</f>
        <v>0</v>
      </c>
      <c r="Q106" s="207"/>
      <c r="R106" s="208"/>
      <c r="S106" s="206">
        <f>SUMIF('PB3'!$J$3:$J$201,"D4.3.5-Infrastructure and Works",'PB3'!$I$3:$I$201)</f>
        <v>0</v>
      </c>
      <c r="T106" s="207"/>
      <c r="U106" s="208"/>
      <c r="V106" s="201">
        <f t="shared" si="2"/>
        <v>0</v>
      </c>
      <c r="W106" s="202"/>
      <c r="X106" s="202"/>
    </row>
    <row r="107" spans="1:24">
      <c r="A107" s="213" t="s">
        <v>420</v>
      </c>
      <c r="B107" s="213"/>
      <c r="C107" s="213" t="s">
        <v>418</v>
      </c>
      <c r="D107" s="203">
        <f>SUM(D108:D112)</f>
        <v>0</v>
      </c>
      <c r="E107" s="204"/>
      <c r="F107" s="205"/>
      <c r="G107" s="203">
        <f>SUM(G108:G112)</f>
        <v>0</v>
      </c>
      <c r="H107" s="204"/>
      <c r="I107" s="205"/>
      <c r="J107" s="203">
        <f>SUM(J108:J112)</f>
        <v>0</v>
      </c>
      <c r="K107" s="204"/>
      <c r="L107" s="205"/>
      <c r="M107" s="203">
        <f>SUM(M108:M112)</f>
        <v>0</v>
      </c>
      <c r="N107" s="204"/>
      <c r="O107" s="205"/>
      <c r="P107" s="203">
        <f>SUM(P108:P112)</f>
        <v>0</v>
      </c>
      <c r="Q107" s="204"/>
      <c r="R107" s="205"/>
      <c r="S107" s="203">
        <f>SUM(S108:S112)</f>
        <v>0</v>
      </c>
      <c r="T107" s="204"/>
      <c r="U107" s="205"/>
      <c r="V107" s="199">
        <f t="shared" si="2"/>
        <v>0</v>
      </c>
      <c r="W107" s="200"/>
      <c r="X107" s="200"/>
    </row>
    <row r="108" spans="1:24">
      <c r="A108" s="210" t="s">
        <v>108</v>
      </c>
      <c r="B108" s="210" t="s">
        <v>53</v>
      </c>
      <c r="C108" s="210" t="s">
        <v>53</v>
      </c>
      <c r="D108" s="206">
        <f>SUMIF('PB3'!$J$3:$J$201,"D5.3.1-Staff Costs",'PB3'!$I$3:$I$201)</f>
        <v>0</v>
      </c>
      <c r="E108" s="207"/>
      <c r="F108" s="208"/>
      <c r="G108" s="206">
        <f>SUMIF('PB3'!$J$3:$J$201,"D5.3.1-Office and Administration",'PB3'!$I$3:$I$201)</f>
        <v>0</v>
      </c>
      <c r="H108" s="207"/>
      <c r="I108" s="208"/>
      <c r="J108" s="206">
        <f>SUMIF('PB3'!$J$3:$J$201,"D5.3.1-Travel and Accommodation",'PB3'!$I$3:$I$201)</f>
        <v>0</v>
      </c>
      <c r="K108" s="207"/>
      <c r="L108" s="208"/>
      <c r="M108" s="206">
        <f>SUMIF('PB3'!$J$3:$J$201,"D5.3.1-External Expertise and Services",'PB3'!$I$3:$I$201)</f>
        <v>0</v>
      </c>
      <c r="N108" s="207"/>
      <c r="O108" s="208"/>
      <c r="P108" s="206">
        <f>SUMIF('PB3'!$J$3:$J$201,"D5.3.1-Equipment",'PB3'!$I$3:$I$201)</f>
        <v>0</v>
      </c>
      <c r="Q108" s="207"/>
      <c r="R108" s="208"/>
      <c r="S108" s="206">
        <f>SUMIF('PB3'!$J$3:$J$201,"D5.3.1-Infrastructure and Works",'PB3'!$I$3:$I$201)</f>
        <v>0</v>
      </c>
      <c r="T108" s="207"/>
      <c r="U108" s="208"/>
      <c r="V108" s="201">
        <f t="shared" si="2"/>
        <v>0</v>
      </c>
      <c r="W108" s="202"/>
      <c r="X108" s="202"/>
    </row>
    <row r="109" spans="1:24">
      <c r="A109" s="210" t="s">
        <v>114</v>
      </c>
      <c r="B109" s="210" t="s">
        <v>54</v>
      </c>
      <c r="C109" s="210" t="s">
        <v>54</v>
      </c>
      <c r="D109" s="206">
        <f>SUMIF('PB3'!$J$3:$J$201,"D5.3.2-Staff Costs",'PB3'!$I$3:$I$201)</f>
        <v>0</v>
      </c>
      <c r="E109" s="207"/>
      <c r="F109" s="208"/>
      <c r="G109" s="206">
        <f>SUMIF('PB3'!$J$3:$J$201,"D5.3.2-Office and Administration",'PB3'!$I$3:$I$201)</f>
        <v>0</v>
      </c>
      <c r="H109" s="207"/>
      <c r="I109" s="208"/>
      <c r="J109" s="206">
        <f>SUMIF('PB3'!$J$3:$J$201,"D5.3.2-Travel and Accommodation",'PB3'!$I$3:$I$201)</f>
        <v>0</v>
      </c>
      <c r="K109" s="207"/>
      <c r="L109" s="208"/>
      <c r="M109" s="206">
        <f>SUMIF('PB3'!$J$3:$J$201,"D5.3.2-External Expertise and Services",'PB3'!$I$3:$I$201)</f>
        <v>0</v>
      </c>
      <c r="N109" s="207"/>
      <c r="O109" s="208"/>
      <c r="P109" s="206">
        <f>SUMIF('PB3'!$J$3:$J$201,"D5.3.2-Equipment",'PB3'!$I$3:$I$201)</f>
        <v>0</v>
      </c>
      <c r="Q109" s="207"/>
      <c r="R109" s="208"/>
      <c r="S109" s="206">
        <f>SUMIF('PB3'!$J$3:$J$201,"D5.3.2-Infrastructure and Works",'PB3'!$I$3:$I$201)</f>
        <v>0</v>
      </c>
      <c r="T109" s="207"/>
      <c r="U109" s="208"/>
      <c r="V109" s="201">
        <f t="shared" si="2"/>
        <v>0</v>
      </c>
      <c r="W109" s="202"/>
      <c r="X109" s="202"/>
    </row>
    <row r="110" spans="1:24">
      <c r="A110" s="210" t="s">
        <v>120</v>
      </c>
      <c r="B110" s="210" t="s">
        <v>55</v>
      </c>
      <c r="C110" s="210" t="s">
        <v>55</v>
      </c>
      <c r="D110" s="206">
        <f>SUMIF('PB3'!$J$3:$J$201,"D5.3.3-Staff Costs",'PB3'!$I$3:$I$201)</f>
        <v>0</v>
      </c>
      <c r="E110" s="207"/>
      <c r="F110" s="208"/>
      <c r="G110" s="206">
        <f>SUMIF('PB3'!$J$3:$J$201,"D5.3.3-Office and Administration",'PB3'!$I$3:$I$201)</f>
        <v>0</v>
      </c>
      <c r="H110" s="207"/>
      <c r="I110" s="208"/>
      <c r="J110" s="206">
        <f>SUMIF('PB3'!$J$3:$J$201,"D5.3.3-Travel and Accommodation",'PB3'!$I$3:$I$201)</f>
        <v>0</v>
      </c>
      <c r="K110" s="207"/>
      <c r="L110" s="208"/>
      <c r="M110" s="206">
        <f>SUMIF('PB3'!$J$3:$J$201,"D5.3.3-External Expertise and Services",'PB3'!$I$3:$I$201)</f>
        <v>0</v>
      </c>
      <c r="N110" s="207"/>
      <c r="O110" s="208"/>
      <c r="P110" s="206">
        <f>SUMIF('PB3'!$J$3:$J$201,"D5.3.3-Equipment",'PB3'!$I$3:$I$201)</f>
        <v>0</v>
      </c>
      <c r="Q110" s="207"/>
      <c r="R110" s="208"/>
      <c r="S110" s="206">
        <f>SUMIF('PB3'!$J$3:$J$201,"D5.3.3-Infrastructure and Works",'PB3'!$I$3:$I$201)</f>
        <v>0</v>
      </c>
      <c r="T110" s="207"/>
      <c r="U110" s="208"/>
      <c r="V110" s="201">
        <f t="shared" si="2"/>
        <v>0</v>
      </c>
      <c r="W110" s="202"/>
      <c r="X110" s="202"/>
    </row>
    <row r="111" spans="1:24">
      <c r="A111" s="210" t="s">
        <v>126</v>
      </c>
      <c r="B111" s="210" t="s">
        <v>56</v>
      </c>
      <c r="C111" s="210" t="s">
        <v>56</v>
      </c>
      <c r="D111" s="206">
        <f>SUMIF('PB3'!$J$3:$J$201,"D5.3.4-Staff Costs",'PB3'!$I$3:$I$201)</f>
        <v>0</v>
      </c>
      <c r="E111" s="207"/>
      <c r="F111" s="208"/>
      <c r="G111" s="206">
        <f>SUMIF('PB3'!$J$3:$J$201,"D5.3.4-Office and Administration",'PB3'!$I$3:$I$201)</f>
        <v>0</v>
      </c>
      <c r="H111" s="207"/>
      <c r="I111" s="208"/>
      <c r="J111" s="206">
        <f>SUMIF('PB3'!$J$3:$J$201,"D5.3.4-Travel and Accommodation",'PB3'!$I$3:$I$201)</f>
        <v>0</v>
      </c>
      <c r="K111" s="207"/>
      <c r="L111" s="208"/>
      <c r="M111" s="206">
        <f>SUMIF('PB3'!$J$3:$J$201,"D5.3.4-External Expertise and Services",'PB3'!$I$3:$I$201)</f>
        <v>0</v>
      </c>
      <c r="N111" s="207"/>
      <c r="O111" s="208"/>
      <c r="P111" s="206">
        <f>SUMIF('PB3'!$J$3:$J$201,"D5.3.4-Equipment",'PB3'!$I$3:$I$201)</f>
        <v>0</v>
      </c>
      <c r="Q111" s="207"/>
      <c r="R111" s="208"/>
      <c r="S111" s="206">
        <f>SUMIF('PB3'!$J$3:$J$201,"D5.3.4-Infrastructure and Works",'PB3'!$I$3:$I$201)</f>
        <v>0</v>
      </c>
      <c r="T111" s="207"/>
      <c r="U111" s="208"/>
      <c r="V111" s="201">
        <f t="shared" si="2"/>
        <v>0</v>
      </c>
      <c r="W111" s="202"/>
      <c r="X111" s="202"/>
    </row>
    <row r="112" spans="1:24">
      <c r="A112" s="210" t="s">
        <v>132</v>
      </c>
      <c r="B112" s="210" t="s">
        <v>57</v>
      </c>
      <c r="C112" s="210" t="s">
        <v>57</v>
      </c>
      <c r="D112" s="206">
        <f>SUMIF('PB3'!$J$3:$J$201,"D5.3.5-Staff Costs",'PB3'!$I$3:$I$201)</f>
        <v>0</v>
      </c>
      <c r="E112" s="207"/>
      <c r="F112" s="208"/>
      <c r="G112" s="206">
        <f>SUMIF('PB3'!$J$3:$J$201,"D5.3.5-Office and Administration",'PB3'!$I$3:$I$201)</f>
        <v>0</v>
      </c>
      <c r="H112" s="207"/>
      <c r="I112" s="208"/>
      <c r="J112" s="206">
        <f>SUMIF('PB3'!$J$3:$J$201,"D5.3.5-Travel and Accommodation",'PB3'!$I$3:$I$201)</f>
        <v>0</v>
      </c>
      <c r="K112" s="207"/>
      <c r="L112" s="208"/>
      <c r="M112" s="206">
        <f>SUMIF('PB3'!$J$3:$J$201,"D5.3.5-External Expertise and Services",'PB3'!$I$3:$I$201)</f>
        <v>0</v>
      </c>
      <c r="N112" s="207"/>
      <c r="O112" s="208"/>
      <c r="P112" s="206">
        <f>SUMIF('PB3'!$J$3:$J$201,"D5.3.5-Equipment",'PB3'!$I$3:$I$201)</f>
        <v>0</v>
      </c>
      <c r="Q112" s="207"/>
      <c r="R112" s="208"/>
      <c r="S112" s="206">
        <f>SUMIF('PB3'!$J$3:$J$201,"D5.3.5-Infrastructure and Works",'PB3'!$I$3:$I$201)</f>
        <v>0</v>
      </c>
      <c r="T112" s="207"/>
      <c r="U112" s="208"/>
      <c r="V112" s="201">
        <f t="shared" si="2"/>
        <v>0</v>
      </c>
      <c r="W112" s="202"/>
      <c r="X112" s="202"/>
    </row>
    <row r="113" spans="1:24">
      <c r="A113" s="213" t="s">
        <v>421</v>
      </c>
      <c r="B113" s="213"/>
      <c r="C113" s="213" t="s">
        <v>418</v>
      </c>
      <c r="D113" s="203">
        <f>SUM(D114:D118)</f>
        <v>0</v>
      </c>
      <c r="E113" s="204"/>
      <c r="F113" s="205"/>
      <c r="G113" s="203">
        <f>SUM(G114:G118)</f>
        <v>0</v>
      </c>
      <c r="H113" s="204"/>
      <c r="I113" s="205"/>
      <c r="J113" s="203">
        <f>SUM(J114:J118)</f>
        <v>0</v>
      </c>
      <c r="K113" s="204"/>
      <c r="L113" s="205"/>
      <c r="M113" s="203">
        <f>SUM(M114:M118)</f>
        <v>0</v>
      </c>
      <c r="N113" s="204"/>
      <c r="O113" s="205"/>
      <c r="P113" s="203">
        <f>SUM(P114:P118)</f>
        <v>0</v>
      </c>
      <c r="Q113" s="204"/>
      <c r="R113" s="205"/>
      <c r="S113" s="203">
        <f>SUM(S114:S118)</f>
        <v>0</v>
      </c>
      <c r="T113" s="204"/>
      <c r="U113" s="205"/>
      <c r="V113" s="199">
        <f t="shared" si="2"/>
        <v>0</v>
      </c>
      <c r="W113" s="200"/>
      <c r="X113" s="200"/>
    </row>
    <row r="114" spans="1:24">
      <c r="A114" s="210" t="s">
        <v>109</v>
      </c>
      <c r="B114" s="210" t="s">
        <v>58</v>
      </c>
      <c r="C114" s="210" t="s">
        <v>58</v>
      </c>
      <c r="D114" s="206">
        <f>SUMIF('PB3'!$J$3:$J$201,"D6.3.1-Staff Costs",'PB3'!$I$3:$I$201)</f>
        <v>0</v>
      </c>
      <c r="E114" s="207"/>
      <c r="F114" s="208"/>
      <c r="G114" s="206">
        <f>SUMIF('PB3'!$J$3:$J$201,"D6.3.1-Office and Administration",'PB3'!$I$3:$I$201)</f>
        <v>0</v>
      </c>
      <c r="H114" s="207"/>
      <c r="I114" s="208"/>
      <c r="J114" s="206">
        <f>SUMIF('PB3'!$J$3:$J$201,"D6.3.1-Travel and Accommodation",'PB3'!$I$3:$I$201)</f>
        <v>0</v>
      </c>
      <c r="K114" s="207"/>
      <c r="L114" s="208"/>
      <c r="M114" s="206">
        <f>SUMIF('PB3'!$J$3:$J$201,"D6.3.1-External Expertise and Services",'PB3'!$I$3:$I$201)</f>
        <v>0</v>
      </c>
      <c r="N114" s="207"/>
      <c r="O114" s="208"/>
      <c r="P114" s="206">
        <f>SUMIF('PB3'!$J$3:$J$201,"D6.3.1-Equipment",'PB3'!$I$3:$I$201)</f>
        <v>0</v>
      </c>
      <c r="Q114" s="207"/>
      <c r="R114" s="208"/>
      <c r="S114" s="206">
        <f>SUMIF('PB3'!$J$3:$J$201,"D6.3.1-Infrastructure and Works",'PB3'!$I$3:$I$201)</f>
        <v>0</v>
      </c>
      <c r="T114" s="207"/>
      <c r="U114" s="208"/>
      <c r="V114" s="201">
        <f t="shared" si="2"/>
        <v>0</v>
      </c>
      <c r="W114" s="202"/>
      <c r="X114" s="202"/>
    </row>
    <row r="115" spans="1:24">
      <c r="A115" s="210" t="s">
        <v>115</v>
      </c>
      <c r="B115" s="210" t="s">
        <v>59</v>
      </c>
      <c r="C115" s="210" t="s">
        <v>59</v>
      </c>
      <c r="D115" s="206">
        <f>SUMIF('PB3'!$J$3:$J$201,"D6.3.2-Staff Costs",'PB3'!$I$3:$I$201)</f>
        <v>0</v>
      </c>
      <c r="E115" s="207"/>
      <c r="F115" s="208"/>
      <c r="G115" s="206">
        <f>SUMIF('PB3'!$J$3:$J$201,"D6.3.2-Office and Administration",'PB3'!$I$3:$I$201)</f>
        <v>0</v>
      </c>
      <c r="H115" s="207"/>
      <c r="I115" s="208"/>
      <c r="J115" s="206">
        <f>SUMIF('PB3'!$J$3:$J$201,"D6.3.2-Travel and Accommodation",'PB3'!$I$3:$I$201)</f>
        <v>0</v>
      </c>
      <c r="K115" s="207"/>
      <c r="L115" s="208"/>
      <c r="M115" s="206">
        <f>SUMIF('PB3'!$J$3:$J$201,"D6.3.2-External Expertise and Services",'PB3'!$I$3:$I$201)</f>
        <v>0</v>
      </c>
      <c r="N115" s="207"/>
      <c r="O115" s="208"/>
      <c r="P115" s="206">
        <f>SUMIF('PB3'!$J$3:$J$201,"D6.3.2-Equipment",'PB3'!$I$3:$I$201)</f>
        <v>0</v>
      </c>
      <c r="Q115" s="207"/>
      <c r="R115" s="208"/>
      <c r="S115" s="206">
        <f>SUMIF('PB3'!$J$3:$J$201,"D6.3.2-Infrastructure and Works",'PB3'!$I$3:$I$201)</f>
        <v>0</v>
      </c>
      <c r="T115" s="207"/>
      <c r="U115" s="208"/>
      <c r="V115" s="201">
        <f t="shared" si="2"/>
        <v>0</v>
      </c>
      <c r="W115" s="202"/>
      <c r="X115" s="202"/>
    </row>
    <row r="116" spans="1:24">
      <c r="A116" s="210" t="s">
        <v>121</v>
      </c>
      <c r="B116" s="210" t="s">
        <v>60</v>
      </c>
      <c r="C116" s="210" t="s">
        <v>60</v>
      </c>
      <c r="D116" s="206">
        <f>SUMIF('PB3'!$J$3:$J$201,"D6.3.3-Staff Costs",'PB3'!$I$3:$I$201)</f>
        <v>0</v>
      </c>
      <c r="E116" s="207"/>
      <c r="F116" s="208"/>
      <c r="G116" s="206">
        <f>SUMIF('PB3'!$J$3:$J$201,"D6.3.3-Office and Administration",'PB3'!$I$3:$I$201)</f>
        <v>0</v>
      </c>
      <c r="H116" s="207"/>
      <c r="I116" s="208"/>
      <c r="J116" s="206">
        <f>SUMIF('PB3'!$J$3:$J$201,"D6.3.3-Travel and Accommodation",'PB3'!$I$3:$I$201)</f>
        <v>0</v>
      </c>
      <c r="K116" s="207"/>
      <c r="L116" s="208"/>
      <c r="M116" s="206">
        <f>SUMIF('PB3'!$J$3:$J$201,"D6.3.3-External Expertise and Services",'PB3'!$I$3:$I$201)</f>
        <v>0</v>
      </c>
      <c r="N116" s="207"/>
      <c r="O116" s="208"/>
      <c r="P116" s="206">
        <f>SUMIF('PB3'!$J$3:$J$201,"D6.3.3-Equipment",'PB3'!$I$3:$I$201)</f>
        <v>0</v>
      </c>
      <c r="Q116" s="207"/>
      <c r="R116" s="208"/>
      <c r="S116" s="206">
        <f>SUMIF('PB3'!$J$3:$J$201,"D6.3.3-Infrastructure and Works",'PB3'!$I$3:$I$201)</f>
        <v>0</v>
      </c>
      <c r="T116" s="207"/>
      <c r="U116" s="208"/>
      <c r="V116" s="201">
        <f t="shared" si="2"/>
        <v>0</v>
      </c>
      <c r="W116" s="202"/>
      <c r="X116" s="202"/>
    </row>
    <row r="117" spans="1:24">
      <c r="A117" s="210" t="s">
        <v>127</v>
      </c>
      <c r="B117" s="210" t="s">
        <v>61</v>
      </c>
      <c r="C117" s="210" t="s">
        <v>61</v>
      </c>
      <c r="D117" s="206">
        <f>SUMIF('PB3'!$J$3:$J$201,"D6.3.4-Staff Costs",'PB3'!$I$3:$I$201)</f>
        <v>0</v>
      </c>
      <c r="E117" s="207"/>
      <c r="F117" s="208"/>
      <c r="G117" s="206">
        <f>SUMIF('PB3'!$J$3:$J$201,"D6.3.4-Office and Administration",'PB3'!$I$3:$I$201)</f>
        <v>0</v>
      </c>
      <c r="H117" s="207"/>
      <c r="I117" s="208"/>
      <c r="J117" s="206">
        <f>SUMIF('PB3'!$J$3:$J$201,"D6.3.4-Travel and Accommodation",'PB3'!$I$3:$I$201)</f>
        <v>0</v>
      </c>
      <c r="K117" s="207"/>
      <c r="L117" s="208"/>
      <c r="M117" s="206">
        <f>SUMIF('PB3'!$J$3:$J$201,"D6.3.4-External Expertise and Services",'PB3'!$I$3:$I$201)</f>
        <v>0</v>
      </c>
      <c r="N117" s="207"/>
      <c r="O117" s="208"/>
      <c r="P117" s="206">
        <f>SUMIF('PB3'!$J$3:$J$201,"D6.3.4-Equipment",'PB3'!$I$3:$I$201)</f>
        <v>0</v>
      </c>
      <c r="Q117" s="207"/>
      <c r="R117" s="208"/>
      <c r="S117" s="206">
        <f>SUMIF('PB3'!$J$3:$J$201,"D6.3.4-Infrastructure and Works",'PB3'!$I$3:$I$201)</f>
        <v>0</v>
      </c>
      <c r="T117" s="207"/>
      <c r="U117" s="208"/>
      <c r="V117" s="201">
        <f t="shared" si="2"/>
        <v>0</v>
      </c>
      <c r="W117" s="202"/>
      <c r="X117" s="202"/>
    </row>
    <row r="118" spans="1:24">
      <c r="A118" s="210" t="s">
        <v>133</v>
      </c>
      <c r="B118" s="210"/>
      <c r="C118" s="210"/>
      <c r="D118" s="206">
        <f>SUMIF('PB3'!$J$3:$J$201,"D6.3.5-Staff Costs",'PB3'!$I$3:$I$201)</f>
        <v>0</v>
      </c>
      <c r="E118" s="207"/>
      <c r="F118" s="208"/>
      <c r="G118" s="206">
        <f>SUMIF('PB3'!$J$3:$J$201,"D6.3.5-Office and Administration",'PB3'!$I$3:$I$201)</f>
        <v>0</v>
      </c>
      <c r="H118" s="207"/>
      <c r="I118" s="208"/>
      <c r="J118" s="206">
        <f>SUMIF('PB3'!$J$3:$J$201,"D6.3.5-Travel and Accommodation",'PB3'!$I$3:$I$201)</f>
        <v>0</v>
      </c>
      <c r="K118" s="207"/>
      <c r="L118" s="208"/>
      <c r="M118" s="206">
        <f>SUMIF('PB3'!$J$3:$J$201,"D6.3.5-External Expertise and Services",'PB3'!$I$3:$I$201)</f>
        <v>0</v>
      </c>
      <c r="N118" s="207"/>
      <c r="O118" s="208"/>
      <c r="P118" s="206">
        <f>SUMIF('PB3'!$J$3:$J$201,"D6.3.5-Equipment",'PB3'!$I$3:$I$201)</f>
        <v>0</v>
      </c>
      <c r="Q118" s="207"/>
      <c r="R118" s="208"/>
      <c r="S118" s="206">
        <f>SUMIF('PB3'!$J$3:$J$201,"D6.3.5-Infrastructure and Works",'PB3'!$I$3:$I$201)</f>
        <v>0</v>
      </c>
      <c r="T118" s="207"/>
      <c r="U118" s="208"/>
      <c r="V118" s="201">
        <f t="shared" si="2"/>
        <v>0</v>
      </c>
      <c r="W118" s="202"/>
      <c r="X118" s="202"/>
    </row>
    <row r="119" spans="1:24">
      <c r="A119" s="221" t="s">
        <v>423</v>
      </c>
      <c r="B119" s="221"/>
      <c r="C119" s="221"/>
      <c r="D119" s="224">
        <f>D113+D107+D101+D95+D89+D83</f>
        <v>0</v>
      </c>
      <c r="E119" s="225"/>
      <c r="F119" s="226"/>
      <c r="G119" s="224">
        <f>G113+G107+G101+G95+G89+G83</f>
        <v>0</v>
      </c>
      <c r="H119" s="225"/>
      <c r="I119" s="226"/>
      <c r="J119" s="224">
        <f>J113+J107+J101+J95+J89+J83</f>
        <v>0</v>
      </c>
      <c r="K119" s="225"/>
      <c r="L119" s="226"/>
      <c r="M119" s="224">
        <f>M113+M107+M101+M95+M89+M83</f>
        <v>0</v>
      </c>
      <c r="N119" s="225"/>
      <c r="O119" s="226"/>
      <c r="P119" s="224">
        <f>P113+P107+P101+P95+P89+P83</f>
        <v>0</v>
      </c>
      <c r="Q119" s="225"/>
      <c r="R119" s="226"/>
      <c r="S119" s="224">
        <f>S113+S107+S101+S95+S89+S83</f>
        <v>0</v>
      </c>
      <c r="T119" s="225"/>
      <c r="U119" s="226"/>
      <c r="V119" s="222">
        <f t="shared" si="2"/>
        <v>0</v>
      </c>
      <c r="W119" s="223"/>
      <c r="X119" s="201"/>
    </row>
    <row r="120" spans="1:24"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8"/>
      <c r="W120" s="48"/>
      <c r="X120" s="48"/>
    </row>
    <row r="121" spans="1:24" ht="15" customHeight="1">
      <c r="A121" s="211" t="s">
        <v>498</v>
      </c>
      <c r="B121" s="211"/>
      <c r="C121" s="211"/>
      <c r="D121" s="214" t="s">
        <v>23</v>
      </c>
      <c r="E121" s="215"/>
      <c r="F121" s="216"/>
      <c r="G121" s="214" t="s">
        <v>24</v>
      </c>
      <c r="H121" s="215"/>
      <c r="I121" s="216"/>
      <c r="J121" s="214" t="s">
        <v>474</v>
      </c>
      <c r="K121" s="215"/>
      <c r="L121" s="216"/>
      <c r="M121" s="214" t="s">
        <v>25</v>
      </c>
      <c r="N121" s="215"/>
      <c r="O121" s="216"/>
      <c r="P121" s="214" t="s">
        <v>26</v>
      </c>
      <c r="Q121" s="215"/>
      <c r="R121" s="216"/>
      <c r="S121" s="214" t="s">
        <v>406</v>
      </c>
      <c r="T121" s="215"/>
      <c r="U121" s="216"/>
      <c r="V121" s="220" t="s">
        <v>423</v>
      </c>
      <c r="W121" s="220"/>
      <c r="X121" s="220"/>
    </row>
    <row r="122" spans="1:24" ht="48.75" customHeight="1">
      <c r="A122" s="212">
        <f>'Cover page'!C25</f>
        <v>0</v>
      </c>
      <c r="B122" s="212"/>
      <c r="C122" s="212"/>
      <c r="D122" s="217"/>
      <c r="E122" s="218"/>
      <c r="F122" s="219"/>
      <c r="G122" s="217"/>
      <c r="H122" s="218"/>
      <c r="I122" s="219"/>
      <c r="J122" s="217"/>
      <c r="K122" s="218"/>
      <c r="L122" s="219"/>
      <c r="M122" s="217"/>
      <c r="N122" s="218"/>
      <c r="O122" s="219"/>
      <c r="P122" s="217"/>
      <c r="Q122" s="218"/>
      <c r="R122" s="219"/>
      <c r="S122" s="217"/>
      <c r="T122" s="218"/>
      <c r="U122" s="219"/>
      <c r="V122" s="220"/>
      <c r="W122" s="220"/>
      <c r="X122" s="220"/>
    </row>
    <row r="123" spans="1:24">
      <c r="A123" s="213" t="s">
        <v>415</v>
      </c>
      <c r="B123" s="213"/>
      <c r="C123" s="213"/>
      <c r="D123" s="203">
        <f>SUM(D124:D128)</f>
        <v>0</v>
      </c>
      <c r="E123" s="204"/>
      <c r="F123" s="205"/>
      <c r="G123" s="203">
        <f>SUM(G124:G128)</f>
        <v>0</v>
      </c>
      <c r="H123" s="204"/>
      <c r="I123" s="205"/>
      <c r="J123" s="203">
        <f>SUM(J124:J128)</f>
        <v>0</v>
      </c>
      <c r="K123" s="204"/>
      <c r="L123" s="205"/>
      <c r="M123" s="203">
        <f>SUM(M124:M128)</f>
        <v>0</v>
      </c>
      <c r="N123" s="204"/>
      <c r="O123" s="205"/>
      <c r="P123" s="203">
        <f>SUM(P124:P128)</f>
        <v>0</v>
      </c>
      <c r="Q123" s="204"/>
      <c r="R123" s="205"/>
      <c r="S123" s="203">
        <f>SUM(S124:S128)</f>
        <v>0</v>
      </c>
      <c r="T123" s="204"/>
      <c r="U123" s="205"/>
      <c r="V123" s="199">
        <f t="shared" ref="V123:V159" si="3">SUM(D123:S123)</f>
        <v>0</v>
      </c>
      <c r="W123" s="200"/>
      <c r="X123" s="200"/>
    </row>
    <row r="124" spans="1:24">
      <c r="A124" s="210" t="s">
        <v>152</v>
      </c>
      <c r="B124" s="210"/>
      <c r="C124" s="210"/>
      <c r="D124" s="206">
        <f>SUMIF('PB4'!$J$3:$J$201,"D1.4.1-Staff Costs",'PB4'!$I$3:$I$201)</f>
        <v>0</v>
      </c>
      <c r="E124" s="207"/>
      <c r="F124" s="208"/>
      <c r="G124" s="206">
        <f>SUMIF('PB4'!$J$3:$J$201,"D1.4.1-Office and Administration",'PB4'!$I$3:$I$201)</f>
        <v>0</v>
      </c>
      <c r="H124" s="207"/>
      <c r="I124" s="208"/>
      <c r="J124" s="206">
        <f>SUMIF('PB4'!$J$3:$J$201,"D1.4.1-Travel and Accommodation",'PB4'!$I$3:$I$201)</f>
        <v>0</v>
      </c>
      <c r="K124" s="207"/>
      <c r="L124" s="208"/>
      <c r="M124" s="206">
        <f>SUMIF('PB4'!$J$3:$J$201,"D1.4.1-External Expertise and Services",'PB4'!$I$3:$I$201)</f>
        <v>0</v>
      </c>
      <c r="N124" s="207"/>
      <c r="O124" s="208"/>
      <c r="P124" s="206">
        <f>SUMIF('PB4'!$J$3:$J$201,"D1.4.1-Equipment",'PB4'!$I$3:$I$201)</f>
        <v>0</v>
      </c>
      <c r="Q124" s="207"/>
      <c r="R124" s="208"/>
      <c r="S124" s="206">
        <f>SUMIF('PB4'!$J$3:$J$201,"D1.4.1-Infrastructure and Works",'PB4'!$I$3:$I$201)</f>
        <v>0</v>
      </c>
      <c r="T124" s="207"/>
      <c r="U124" s="208"/>
      <c r="V124" s="201">
        <f t="shared" si="3"/>
        <v>0</v>
      </c>
      <c r="W124" s="202"/>
      <c r="X124" s="202"/>
    </row>
    <row r="125" spans="1:24">
      <c r="A125" s="210" t="s">
        <v>158</v>
      </c>
      <c r="B125" s="210"/>
      <c r="C125" s="210"/>
      <c r="D125" s="206">
        <f>SUMIF('PB4'!$J$3:$J$201,"D1.4.2-Staff Costs",'PB4'!$I$3:$I$201)</f>
        <v>0</v>
      </c>
      <c r="E125" s="207"/>
      <c r="F125" s="208"/>
      <c r="G125" s="206">
        <f>SUMIF('PB4'!$J$3:$J$201,"D1.4.2-Office and Administration",'PB4'!$I$3:$I$201)</f>
        <v>0</v>
      </c>
      <c r="H125" s="207"/>
      <c r="I125" s="208"/>
      <c r="J125" s="206">
        <f>SUMIF('PB4'!$J$3:$J$201,"D1.4.2-Travel and Accommodation",'PB4'!$I$3:$I$201)</f>
        <v>0</v>
      </c>
      <c r="K125" s="207"/>
      <c r="L125" s="208"/>
      <c r="M125" s="206">
        <f>SUMIF('PB4'!$J$3:$J$201,"D1.4.2-External Expertise and Services",'PB4'!$I$3:$I$201)</f>
        <v>0</v>
      </c>
      <c r="N125" s="207"/>
      <c r="O125" s="208"/>
      <c r="P125" s="206">
        <f>SUMIF('PB4'!$J$3:$J$201,"D1.4.2-Equipment",'PB4'!$I$3:$I$201)</f>
        <v>0</v>
      </c>
      <c r="Q125" s="207"/>
      <c r="R125" s="208"/>
      <c r="S125" s="206">
        <f>SUMIF('PB4'!$J$3:$J$201,"D1.4.2-Infrastructure and Works",'PB4'!$I$3:$I$201)</f>
        <v>0</v>
      </c>
      <c r="T125" s="207"/>
      <c r="U125" s="208"/>
      <c r="V125" s="201">
        <f t="shared" si="3"/>
        <v>0</v>
      </c>
      <c r="W125" s="202"/>
      <c r="X125" s="202"/>
    </row>
    <row r="126" spans="1:24">
      <c r="A126" s="210" t="s">
        <v>164</v>
      </c>
      <c r="B126" s="210" t="s">
        <v>35</v>
      </c>
      <c r="C126" s="210" t="s">
        <v>35</v>
      </c>
      <c r="D126" s="206">
        <f>SUMIF('PB4'!$J$3:$J$201,"D1.4.3-Staff Costs",'PB4'!$I$3:$I$201)</f>
        <v>0</v>
      </c>
      <c r="E126" s="207"/>
      <c r="F126" s="208"/>
      <c r="G126" s="206">
        <f>SUMIF('PB4'!$J$3:$J$201,"D1.4.3-Office and Administration",'PB4'!$I$3:$I$201)</f>
        <v>0</v>
      </c>
      <c r="H126" s="207"/>
      <c r="I126" s="208"/>
      <c r="J126" s="206">
        <f>SUMIF('PB4'!$J$3:$J$201,"D1.4.3-Travel and Accommodation",'PB4'!$I$3:$I$201)</f>
        <v>0</v>
      </c>
      <c r="K126" s="207"/>
      <c r="L126" s="208"/>
      <c r="M126" s="206">
        <f>SUMIF('PB4'!$J$3:$J$201,"D1.4.3-External Expertise and Services",'PB4'!$I$3:$I$201)</f>
        <v>0</v>
      </c>
      <c r="N126" s="207"/>
      <c r="O126" s="208"/>
      <c r="P126" s="206">
        <f>SUMIF('PB4'!$J$3:$J$201,"D1.4.3-Equipment",'PB4'!$I$3:$I$201)</f>
        <v>0</v>
      </c>
      <c r="Q126" s="207"/>
      <c r="R126" s="208"/>
      <c r="S126" s="206">
        <f>SUMIF('PB4'!$J$3:$J$201,"D1.4.3-Infrastructure and Works",'PB4'!$I$3:$I$201)</f>
        <v>0</v>
      </c>
      <c r="T126" s="207"/>
      <c r="U126" s="208"/>
      <c r="V126" s="201">
        <f t="shared" si="3"/>
        <v>0</v>
      </c>
      <c r="W126" s="202"/>
      <c r="X126" s="202"/>
    </row>
    <row r="127" spans="1:24">
      <c r="A127" s="210" t="s">
        <v>170</v>
      </c>
      <c r="B127" s="210" t="s">
        <v>36</v>
      </c>
      <c r="C127" s="210" t="s">
        <v>36</v>
      </c>
      <c r="D127" s="206">
        <f>SUMIF('PB4'!$J$3:$J$201,"D1.4.4-Staff Costs",'PB4'!$I$3:$I$201)</f>
        <v>0</v>
      </c>
      <c r="E127" s="207"/>
      <c r="F127" s="208"/>
      <c r="G127" s="206">
        <f>SUMIF('PB4'!$J$3:$J$201,"D1.4.4-Office and Administration",'PB4'!$I$3:$I$201)</f>
        <v>0</v>
      </c>
      <c r="H127" s="207"/>
      <c r="I127" s="208"/>
      <c r="J127" s="206">
        <f>SUMIF('PB4'!$J$3:$J$201,"D1.4.4-Travel and Accommodation",'PB4'!$I$3:$I$201)</f>
        <v>0</v>
      </c>
      <c r="K127" s="207"/>
      <c r="L127" s="208"/>
      <c r="M127" s="206">
        <f>SUMIF('PB4'!$J$3:$J$201,"D1.4.4-External Expertise and Services",'PB4'!$I$3:$I$201)</f>
        <v>0</v>
      </c>
      <c r="N127" s="207"/>
      <c r="O127" s="208"/>
      <c r="P127" s="206">
        <f>SUMIF('PB4'!$J$3:$J$201,"D1.4.4-Equipment",'PB4'!$I$3:$I$201)</f>
        <v>0</v>
      </c>
      <c r="Q127" s="207"/>
      <c r="R127" s="208"/>
      <c r="S127" s="206">
        <f>SUMIF('PB4'!$J$3:$J$201,"D1.4.4-Infrastructure and Works",'PB4'!$I$3:$I$201)</f>
        <v>0</v>
      </c>
      <c r="T127" s="207"/>
      <c r="U127" s="208"/>
      <c r="V127" s="201">
        <f t="shared" si="3"/>
        <v>0</v>
      </c>
      <c r="W127" s="202"/>
      <c r="X127" s="202"/>
    </row>
    <row r="128" spans="1:24">
      <c r="A128" s="210" t="s">
        <v>176</v>
      </c>
      <c r="B128" s="210" t="s">
        <v>37</v>
      </c>
      <c r="C128" s="210" t="s">
        <v>37</v>
      </c>
      <c r="D128" s="206">
        <f>SUMIF('PB4'!$J$3:$J$201,"D1.4.5-Staff Costs",'PB4'!$I$3:$I$201)</f>
        <v>0</v>
      </c>
      <c r="E128" s="207"/>
      <c r="F128" s="208"/>
      <c r="G128" s="206">
        <f>SUMIF('PB4'!$J$3:$J$201,"D1.4.5-Office and Administration",'PB4'!$I$3:$I$201)</f>
        <v>0</v>
      </c>
      <c r="H128" s="207"/>
      <c r="I128" s="208"/>
      <c r="J128" s="206">
        <f>SUMIF('PB4'!$J$3:$J$201,"D1.4.5-Travel and Accommodation",'PB4'!$I$3:$I$201)</f>
        <v>0</v>
      </c>
      <c r="K128" s="207"/>
      <c r="L128" s="208"/>
      <c r="M128" s="206">
        <f>SUMIF('PB4'!$J$3:$J$201,"D1.4.5-External Expertise and Services",'PB4'!$I$3:$I$201)</f>
        <v>0</v>
      </c>
      <c r="N128" s="207"/>
      <c r="O128" s="208"/>
      <c r="P128" s="206">
        <f>SUMIF('PB4'!$J$3:$J$201,"D1.4.5-Equipment",'PB4'!$I$3:$I$201)</f>
        <v>0</v>
      </c>
      <c r="Q128" s="207"/>
      <c r="R128" s="208"/>
      <c r="S128" s="206">
        <f>SUMIF('PB4'!$J$3:$J$201,"D1.4.5-Infrastructure and Works",'PB4'!$I$3:$I$201)</f>
        <v>0</v>
      </c>
      <c r="T128" s="207"/>
      <c r="U128" s="208"/>
      <c r="V128" s="201">
        <f t="shared" si="3"/>
        <v>0</v>
      </c>
      <c r="W128" s="202"/>
      <c r="X128" s="202"/>
    </row>
    <row r="129" spans="1:24">
      <c r="A129" s="213" t="s">
        <v>416</v>
      </c>
      <c r="B129" s="213"/>
      <c r="C129" s="213"/>
      <c r="D129" s="203">
        <f>SUM(D130:D134)</f>
        <v>0</v>
      </c>
      <c r="E129" s="204"/>
      <c r="F129" s="205"/>
      <c r="G129" s="203">
        <f>SUM(G130:G134)</f>
        <v>0</v>
      </c>
      <c r="H129" s="204"/>
      <c r="I129" s="205"/>
      <c r="J129" s="203">
        <f>SUM(J130:J134)</f>
        <v>0</v>
      </c>
      <c r="K129" s="204"/>
      <c r="L129" s="205"/>
      <c r="M129" s="203">
        <f>SUM(M130:M134)</f>
        <v>0</v>
      </c>
      <c r="N129" s="204"/>
      <c r="O129" s="205"/>
      <c r="P129" s="203">
        <f>SUM(P130:P134)</f>
        <v>0</v>
      </c>
      <c r="Q129" s="204"/>
      <c r="R129" s="205"/>
      <c r="S129" s="203">
        <f>SUM(S130:S134)</f>
        <v>0</v>
      </c>
      <c r="T129" s="204"/>
      <c r="U129" s="205"/>
      <c r="V129" s="199">
        <f t="shared" si="3"/>
        <v>0</v>
      </c>
      <c r="W129" s="200"/>
      <c r="X129" s="200"/>
    </row>
    <row r="130" spans="1:24">
      <c r="A130" s="210" t="s">
        <v>153</v>
      </c>
      <c r="B130" s="210" t="s">
        <v>38</v>
      </c>
      <c r="C130" s="210" t="s">
        <v>38</v>
      </c>
      <c r="D130" s="206">
        <f>SUMIF('PB4'!$J$3:$J$201,"D2.4.1-Staff Costs",'PB4'!$I$3:$I$201)</f>
        <v>0</v>
      </c>
      <c r="E130" s="207"/>
      <c r="F130" s="208"/>
      <c r="G130" s="206">
        <f>SUMIF('PB4'!$J$3:$J$201,"D2.4.1-Office and Administration",'PB4'!$I$3:$I$201)</f>
        <v>0</v>
      </c>
      <c r="H130" s="207"/>
      <c r="I130" s="208"/>
      <c r="J130" s="206">
        <f>SUMIF('PB4'!$J$3:$J$201,"D2.4.1-Travel and Accommodation",'PB4'!$I$3:$I$201)</f>
        <v>0</v>
      </c>
      <c r="K130" s="207"/>
      <c r="L130" s="208"/>
      <c r="M130" s="206">
        <f>SUMIF('PB4'!$J$3:$J$201,"D2.4.1-External Expertise and Services",'PB4'!$I$3:$I$201)</f>
        <v>0</v>
      </c>
      <c r="N130" s="207"/>
      <c r="O130" s="208"/>
      <c r="P130" s="206">
        <f>SUMIF('PB4'!$J$3:$J$201,"D2.4.1-Equipment",'PB4'!$I$3:$I$201)</f>
        <v>0</v>
      </c>
      <c r="Q130" s="207"/>
      <c r="R130" s="208"/>
      <c r="S130" s="206">
        <f>SUMIF('PB4'!$J$3:$J$201,"D2.4.1-Infrastructure and Works",'PB4'!$I$3:$I$201)</f>
        <v>0</v>
      </c>
      <c r="T130" s="207"/>
      <c r="U130" s="208"/>
      <c r="V130" s="201">
        <f t="shared" si="3"/>
        <v>0</v>
      </c>
      <c r="W130" s="202"/>
      <c r="X130" s="202"/>
    </row>
    <row r="131" spans="1:24">
      <c r="A131" s="210" t="s">
        <v>159</v>
      </c>
      <c r="B131" s="210" t="s">
        <v>39</v>
      </c>
      <c r="C131" s="210" t="s">
        <v>39</v>
      </c>
      <c r="D131" s="206">
        <f>SUMIF('PB4'!$J$3:$J$201,"D2.4.2-Staff Costs",'PB4'!$I$3:$I$201)</f>
        <v>0</v>
      </c>
      <c r="E131" s="207"/>
      <c r="F131" s="208"/>
      <c r="G131" s="206">
        <f>SUMIF('PB4'!$J$3:$J$201,"D2.4.2-Office and Administration",'PB4'!$I$3:$I$201)</f>
        <v>0</v>
      </c>
      <c r="H131" s="207"/>
      <c r="I131" s="208"/>
      <c r="J131" s="206">
        <f>SUMIF('PB4'!$J$3:$J$201,"D2.4.2-Travel and Accommodation",'PB4'!$I$3:$I$201)</f>
        <v>0</v>
      </c>
      <c r="K131" s="207"/>
      <c r="L131" s="208"/>
      <c r="M131" s="206">
        <f>SUMIF('PB4'!$J$3:$J$201,"D2.4.2-External Expertise and Services",'PB4'!$I$3:$I$201)</f>
        <v>0</v>
      </c>
      <c r="N131" s="207"/>
      <c r="O131" s="208"/>
      <c r="P131" s="206">
        <f>SUMIF('PB4'!$J$3:$J$201,"D2.4.2-Equipment",'PB4'!$I$3:$I$201)</f>
        <v>0</v>
      </c>
      <c r="Q131" s="207"/>
      <c r="R131" s="208"/>
      <c r="S131" s="206">
        <f>SUMIF('PB4'!$J$3:$J$201,"D2.4.2-Infrastructure and Works",'PB4'!$I$3:$I$201)</f>
        <v>0</v>
      </c>
      <c r="T131" s="207"/>
      <c r="U131" s="208"/>
      <c r="V131" s="201">
        <f t="shared" si="3"/>
        <v>0</v>
      </c>
      <c r="W131" s="202"/>
      <c r="X131" s="202"/>
    </row>
    <row r="132" spans="1:24">
      <c r="A132" s="210" t="s">
        <v>165</v>
      </c>
      <c r="B132" s="210" t="s">
        <v>40</v>
      </c>
      <c r="C132" s="210" t="s">
        <v>40</v>
      </c>
      <c r="D132" s="206">
        <f>SUMIF('PB4'!$J$3:$J$201,"D2.4.3-Staff Costs",'PB4'!$I$3:$I$201)</f>
        <v>0</v>
      </c>
      <c r="E132" s="207"/>
      <c r="F132" s="208"/>
      <c r="G132" s="206">
        <f>SUMIF('PB4'!$J$3:$J$201,"D2.4.3-Office and Administration",'PB4'!$I$3:$I$201)</f>
        <v>0</v>
      </c>
      <c r="H132" s="207"/>
      <c r="I132" s="208"/>
      <c r="J132" s="206">
        <f>SUMIF('PB4'!$J$3:$J$201,"D2.4.3-Travel and Accommodation",'PB4'!$I$3:$I$201)</f>
        <v>0</v>
      </c>
      <c r="K132" s="207"/>
      <c r="L132" s="208"/>
      <c r="M132" s="206">
        <f>SUMIF('PB4'!$J$3:$J$201,"D2.4.3-External Expertise and Services",'PB4'!$I$3:$I$201)</f>
        <v>0</v>
      </c>
      <c r="N132" s="207"/>
      <c r="O132" s="208"/>
      <c r="P132" s="206">
        <f>SUMIF('PB4'!$J$3:$J$201,"D2.4.3-Equipment",'PB4'!$I$3:$I$201)</f>
        <v>0</v>
      </c>
      <c r="Q132" s="207"/>
      <c r="R132" s="208"/>
      <c r="S132" s="206">
        <f>SUMIF('PB4'!$J$3:$J$201,"D2.4.3-Infrastructure and Works",'PB4'!$I$3:$I$201)</f>
        <v>0</v>
      </c>
      <c r="T132" s="207"/>
      <c r="U132" s="208"/>
      <c r="V132" s="201">
        <f t="shared" si="3"/>
        <v>0</v>
      </c>
      <c r="W132" s="202"/>
      <c r="X132" s="202"/>
    </row>
    <row r="133" spans="1:24">
      <c r="A133" s="210" t="s">
        <v>171</v>
      </c>
      <c r="B133" s="210" t="s">
        <v>41</v>
      </c>
      <c r="C133" s="210" t="s">
        <v>41</v>
      </c>
      <c r="D133" s="206">
        <f>SUMIF('PB4'!$J$3:$J$201,"D2.4.4-Staff Costs",'PB4'!$I$3:$I$201)</f>
        <v>0</v>
      </c>
      <c r="E133" s="207"/>
      <c r="F133" s="208"/>
      <c r="G133" s="206">
        <f>SUMIF('PB4'!$J$3:$J$201,"D2.4.4-Office and Administration",'PB4'!$I$3:$I$201)</f>
        <v>0</v>
      </c>
      <c r="H133" s="207"/>
      <c r="I133" s="208"/>
      <c r="J133" s="206">
        <f>SUMIF('PB4'!$J$3:$J$201,"D2.4.4-Travel and Accommodation",'PB4'!$I$3:$I$201)</f>
        <v>0</v>
      </c>
      <c r="K133" s="207"/>
      <c r="L133" s="208"/>
      <c r="M133" s="206">
        <f>SUMIF('PB4'!$J$3:$J$201,"D2.4.4-External Expertise and Services",'PB4'!$I$3:$I$201)</f>
        <v>0</v>
      </c>
      <c r="N133" s="207"/>
      <c r="O133" s="208"/>
      <c r="P133" s="206">
        <f>SUMIF('PB4'!$J$3:$J$201,"D2.4.4-Equipment",'PB4'!$I$3:$I$201)</f>
        <v>0</v>
      </c>
      <c r="Q133" s="207"/>
      <c r="R133" s="208"/>
      <c r="S133" s="206">
        <f>SUMIF('PB4'!$J$3:$J$201,"D2.4.4-Infrastructure and Works",'PB4'!$I$3:$I$201)</f>
        <v>0</v>
      </c>
      <c r="T133" s="207"/>
      <c r="U133" s="208"/>
      <c r="V133" s="201">
        <f t="shared" si="3"/>
        <v>0</v>
      </c>
      <c r="W133" s="202"/>
      <c r="X133" s="202"/>
    </row>
    <row r="134" spans="1:24">
      <c r="A134" s="210" t="s">
        <v>177</v>
      </c>
      <c r="B134" s="210" t="s">
        <v>42</v>
      </c>
      <c r="C134" s="210" t="s">
        <v>42</v>
      </c>
      <c r="D134" s="206">
        <f>SUMIF('PB4'!$J$3:$J$201,"D2.4.5-Staff Costs",'PB4'!$I$3:$I$201)</f>
        <v>0</v>
      </c>
      <c r="E134" s="207"/>
      <c r="F134" s="208"/>
      <c r="G134" s="206">
        <f>SUMIF('PB4'!$J$3:$J$201,"D2.4.5-Office and Administration",'PB4'!$I$3:$I$201)</f>
        <v>0</v>
      </c>
      <c r="H134" s="207"/>
      <c r="I134" s="208"/>
      <c r="J134" s="206">
        <f>SUMIF('PB4'!$J$3:$J$201,"D2.4.5-Travel and Accommodation",'PB4'!$I$3:$I$201)</f>
        <v>0</v>
      </c>
      <c r="K134" s="207"/>
      <c r="L134" s="208"/>
      <c r="M134" s="206">
        <f>SUMIF('PB4'!$J$3:$J$201,"D2.4.5-External Expertise and Services",'PB4'!$I$3:$I$201)</f>
        <v>0</v>
      </c>
      <c r="N134" s="207"/>
      <c r="O134" s="208"/>
      <c r="P134" s="206">
        <f>SUMIF('PB4'!$J$3:$J$201,"D2.4.5-Equipment",'PB4'!$I$3:$I$201)</f>
        <v>0</v>
      </c>
      <c r="Q134" s="207"/>
      <c r="R134" s="208"/>
      <c r="S134" s="206">
        <f>SUMIF('PB4'!$J$3:$J$201,"D2.4.5-Infrastructure and Works",'PB4'!$I$3:$I$201)</f>
        <v>0</v>
      </c>
      <c r="T134" s="207"/>
      <c r="U134" s="208"/>
      <c r="V134" s="201">
        <f t="shared" si="3"/>
        <v>0</v>
      </c>
      <c r="W134" s="202"/>
      <c r="X134" s="202"/>
    </row>
    <row r="135" spans="1:24">
      <c r="A135" s="213" t="s">
        <v>417</v>
      </c>
      <c r="B135" s="213"/>
      <c r="C135" s="213" t="s">
        <v>418</v>
      </c>
      <c r="D135" s="203">
        <f>SUM(D136:D140)</f>
        <v>0</v>
      </c>
      <c r="E135" s="204"/>
      <c r="F135" s="205"/>
      <c r="G135" s="203">
        <f>SUM(G136:G140)</f>
        <v>0</v>
      </c>
      <c r="H135" s="204"/>
      <c r="I135" s="205"/>
      <c r="J135" s="203">
        <f>SUM(J136:J140)</f>
        <v>0</v>
      </c>
      <c r="K135" s="204"/>
      <c r="L135" s="205"/>
      <c r="M135" s="203">
        <f>SUM(M136:M140)</f>
        <v>0</v>
      </c>
      <c r="N135" s="204"/>
      <c r="O135" s="205"/>
      <c r="P135" s="203">
        <f>SUM(P136:P140)</f>
        <v>0</v>
      </c>
      <c r="Q135" s="204"/>
      <c r="R135" s="205"/>
      <c r="S135" s="203">
        <f>SUM(S136:S140)</f>
        <v>0</v>
      </c>
      <c r="T135" s="204"/>
      <c r="U135" s="205"/>
      <c r="V135" s="199">
        <f t="shared" si="3"/>
        <v>0</v>
      </c>
      <c r="W135" s="200"/>
      <c r="X135" s="200"/>
    </row>
    <row r="136" spans="1:24">
      <c r="A136" s="210" t="s">
        <v>154</v>
      </c>
      <c r="B136" s="210" t="s">
        <v>43</v>
      </c>
      <c r="C136" s="210" t="s">
        <v>43</v>
      </c>
      <c r="D136" s="206">
        <f>SUMIF('PB4'!$J$3:$J$201,"D3.4.1-Staff Costs",'PB4'!$I$3:$I$201)</f>
        <v>0</v>
      </c>
      <c r="E136" s="207"/>
      <c r="F136" s="208"/>
      <c r="G136" s="206">
        <f>SUMIF('PB4'!$J$3:$J$201,"D3.4.1-Office and Administration",'PB4'!$I$3:$I$201)</f>
        <v>0</v>
      </c>
      <c r="H136" s="207"/>
      <c r="I136" s="208"/>
      <c r="J136" s="206">
        <f>SUMIF('PB4'!$J$3:$J$201,"D3.4.1-Travel and Accommodation",'PB4'!$I$3:$I$201)</f>
        <v>0</v>
      </c>
      <c r="K136" s="207"/>
      <c r="L136" s="208"/>
      <c r="M136" s="206">
        <f>SUMIF('PB4'!$J$3:$J$201,"D3.4.1-External Expertise and Services",'PB4'!$I$3:$I$201)</f>
        <v>0</v>
      </c>
      <c r="N136" s="207"/>
      <c r="O136" s="208"/>
      <c r="P136" s="206">
        <f>SUMIF('PB4'!$J$3:$J$201,"D3.4.1-Equipment",'PB4'!$I$3:$I$201)</f>
        <v>0</v>
      </c>
      <c r="Q136" s="207"/>
      <c r="R136" s="208"/>
      <c r="S136" s="206">
        <f>SUMIF('PB4'!$J$3:$J$201,"D3.4.1-Infrastructure and Works",'PB4'!$I$3:$I$201)</f>
        <v>0</v>
      </c>
      <c r="T136" s="207"/>
      <c r="U136" s="208"/>
      <c r="V136" s="201">
        <f t="shared" si="3"/>
        <v>0</v>
      </c>
      <c r="W136" s="202"/>
      <c r="X136" s="202"/>
    </row>
    <row r="137" spans="1:24">
      <c r="A137" s="210" t="s">
        <v>160</v>
      </c>
      <c r="B137" s="210" t="s">
        <v>44</v>
      </c>
      <c r="C137" s="210" t="s">
        <v>44</v>
      </c>
      <c r="D137" s="206">
        <f>SUMIF('PB4'!$J$3:$J$201,"D3.4.2-Staff Costs",'PB4'!$I$3:$I$201)</f>
        <v>0</v>
      </c>
      <c r="E137" s="207"/>
      <c r="F137" s="208"/>
      <c r="G137" s="206">
        <f>SUMIF('PB4'!$J$3:$J$201,"D3.4.2-Office and Administration",'PB4'!$I$3:$I$201)</f>
        <v>0</v>
      </c>
      <c r="H137" s="207"/>
      <c r="I137" s="208"/>
      <c r="J137" s="206">
        <f>SUMIF('PB4'!$J$3:$J$201,"D3.4.2-Travel and Accommodation",'PB4'!$I$3:$I$201)</f>
        <v>0</v>
      </c>
      <c r="K137" s="207"/>
      <c r="L137" s="208"/>
      <c r="M137" s="206">
        <f>SUMIF('PB4'!$J$3:$J$201,"D3.4.2-External Expertise and Services",'PB4'!$I$3:$I$201)</f>
        <v>0</v>
      </c>
      <c r="N137" s="207"/>
      <c r="O137" s="208"/>
      <c r="P137" s="206">
        <f>SUMIF('PB4'!$J$3:$J$201,"D3.4.2-Equipment",'PB4'!$I$3:$I$201)</f>
        <v>0</v>
      </c>
      <c r="Q137" s="207"/>
      <c r="R137" s="208"/>
      <c r="S137" s="206">
        <f>SUMIF('PB4'!$J$3:$J$201,"D3.4.2-Infrastructure and Works",'PB4'!$I$3:$I$201)</f>
        <v>0</v>
      </c>
      <c r="T137" s="207"/>
      <c r="U137" s="208"/>
      <c r="V137" s="201">
        <f t="shared" si="3"/>
        <v>0</v>
      </c>
      <c r="W137" s="202"/>
      <c r="X137" s="202"/>
    </row>
    <row r="138" spans="1:24">
      <c r="A138" s="210" t="s">
        <v>166</v>
      </c>
      <c r="B138" s="210" t="s">
        <v>45</v>
      </c>
      <c r="C138" s="210" t="s">
        <v>45</v>
      </c>
      <c r="D138" s="206">
        <f>SUMIF('PB4'!$J$3:$J$201,"D3.4.3-Staff Costs",'PB4'!$I$3:$I$201)</f>
        <v>0</v>
      </c>
      <c r="E138" s="207"/>
      <c r="F138" s="208"/>
      <c r="G138" s="206">
        <f>SUMIF('PB4'!$J$3:$J$201,"D3.4.3-Office and Administration",'PB4'!$I$3:$I$201)</f>
        <v>0</v>
      </c>
      <c r="H138" s="207"/>
      <c r="I138" s="208"/>
      <c r="J138" s="206">
        <f>SUMIF('PB4'!$J$3:$J$201,"D3.4.3-Travel and Accommodation",'PB4'!$I$3:$I$201)</f>
        <v>0</v>
      </c>
      <c r="K138" s="207"/>
      <c r="L138" s="208"/>
      <c r="M138" s="206">
        <f>SUMIF('PB4'!$J$3:$J$201,"D3.4.3-External Expertise and Services",'PB4'!$I$3:$I$201)</f>
        <v>0</v>
      </c>
      <c r="N138" s="207"/>
      <c r="O138" s="208"/>
      <c r="P138" s="206">
        <f>SUMIF('PB4'!$J$3:$J$201,"D3.4.3-Equipment",'PB4'!$I$3:$I$201)</f>
        <v>0</v>
      </c>
      <c r="Q138" s="207"/>
      <c r="R138" s="208"/>
      <c r="S138" s="206">
        <f>SUMIF('PB4'!$J$3:$J$201,"D3.4.3-Infrastructure and Works",'PB4'!$I$3:$I$201)</f>
        <v>0</v>
      </c>
      <c r="T138" s="207"/>
      <c r="U138" s="208"/>
      <c r="V138" s="201">
        <f t="shared" si="3"/>
        <v>0</v>
      </c>
      <c r="W138" s="202"/>
      <c r="X138" s="202"/>
    </row>
    <row r="139" spans="1:24">
      <c r="A139" s="210" t="s">
        <v>172</v>
      </c>
      <c r="B139" s="210" t="s">
        <v>46</v>
      </c>
      <c r="C139" s="210" t="s">
        <v>46</v>
      </c>
      <c r="D139" s="206">
        <f>SUMIF('PB4'!$J$3:$J$201,"D3.4.4-Staff Costs",'PB4'!$I$3:$I$201)</f>
        <v>0</v>
      </c>
      <c r="E139" s="207"/>
      <c r="F139" s="208"/>
      <c r="G139" s="206">
        <f>SUMIF('PB4'!$J$3:$J$201,"D3.4.4-Office and Administration",'PB4'!$I$3:$I$201)</f>
        <v>0</v>
      </c>
      <c r="H139" s="207"/>
      <c r="I139" s="208"/>
      <c r="J139" s="206">
        <f>SUMIF('PB4'!$J$3:$J$201,"D3.4.4-Travel and Accommodation",'PB4'!$I$3:$I$201)</f>
        <v>0</v>
      </c>
      <c r="K139" s="207"/>
      <c r="L139" s="208"/>
      <c r="M139" s="206">
        <f>SUMIF('PB4'!$J$3:$J$201,"D3.4.4-External Expertise and Services",'PB4'!$I$3:$I$201)</f>
        <v>0</v>
      </c>
      <c r="N139" s="207"/>
      <c r="O139" s="208"/>
      <c r="P139" s="206">
        <f>SUMIF('PB4'!$J$3:$J$201,"D3.4.4-Equipment",'PB4'!$I$3:$I$201)</f>
        <v>0</v>
      </c>
      <c r="Q139" s="207"/>
      <c r="R139" s="208"/>
      <c r="S139" s="206">
        <f>SUMIF('PB4'!$J$3:$J$201,"D3.4.4-Infrastructure and Works",'PB4'!$I$3:$I$201)</f>
        <v>0</v>
      </c>
      <c r="T139" s="207"/>
      <c r="U139" s="208"/>
      <c r="V139" s="201">
        <f t="shared" si="3"/>
        <v>0</v>
      </c>
      <c r="W139" s="202"/>
      <c r="X139" s="202"/>
    </row>
    <row r="140" spans="1:24">
      <c r="A140" s="210" t="s">
        <v>178</v>
      </c>
      <c r="B140" s="210" t="s">
        <v>47</v>
      </c>
      <c r="C140" s="210" t="s">
        <v>47</v>
      </c>
      <c r="D140" s="206">
        <f>SUMIF('PB4'!$J$3:$J$201,"D3.4.5-Staff Costs",'PB4'!$I$3:$I$201)</f>
        <v>0</v>
      </c>
      <c r="E140" s="207"/>
      <c r="F140" s="208"/>
      <c r="G140" s="206">
        <f>SUMIF('PB4'!$J$3:$J$201,"D3.4.5-Office and Administration",'PB4'!$I$3:$I$201)</f>
        <v>0</v>
      </c>
      <c r="H140" s="207"/>
      <c r="I140" s="208"/>
      <c r="J140" s="206">
        <f>SUMIF('PB4'!$J$3:$J$201,"D3.4.5-Travel and Accommodation",'PB4'!$I$3:$I$201)</f>
        <v>0</v>
      </c>
      <c r="K140" s="207"/>
      <c r="L140" s="208"/>
      <c r="M140" s="206">
        <f>SUMIF('PB4'!$J$3:$J$201,"D3.4.5-External Expertise and Services",'PB4'!$I$3:$I$201)</f>
        <v>0</v>
      </c>
      <c r="N140" s="207"/>
      <c r="O140" s="208"/>
      <c r="P140" s="206">
        <f>SUMIF('PB4'!$J$3:$J$201,"D3.4.5-Equipment",'PB4'!$I$3:$I$201)</f>
        <v>0</v>
      </c>
      <c r="Q140" s="207"/>
      <c r="R140" s="208"/>
      <c r="S140" s="206">
        <f>SUMIF('PB4'!$J$3:$J$201,"D3.4.5-Infrastructure and Works",'PB4'!$I$3:$I$201)</f>
        <v>0</v>
      </c>
      <c r="T140" s="207"/>
      <c r="U140" s="208"/>
      <c r="V140" s="201">
        <f t="shared" si="3"/>
        <v>0</v>
      </c>
      <c r="W140" s="202"/>
      <c r="X140" s="202"/>
    </row>
    <row r="141" spans="1:24">
      <c r="A141" s="213" t="s">
        <v>419</v>
      </c>
      <c r="B141" s="213"/>
      <c r="C141" s="213" t="s">
        <v>418</v>
      </c>
      <c r="D141" s="203">
        <f>SUM(D142:D146)</f>
        <v>0</v>
      </c>
      <c r="E141" s="204"/>
      <c r="F141" s="205"/>
      <c r="G141" s="203">
        <f>SUM(G142:G146)</f>
        <v>0</v>
      </c>
      <c r="H141" s="204"/>
      <c r="I141" s="205"/>
      <c r="J141" s="203">
        <f>SUM(J142:J146)</f>
        <v>0</v>
      </c>
      <c r="K141" s="204"/>
      <c r="L141" s="205"/>
      <c r="M141" s="203">
        <f>SUM(M142:M146)</f>
        <v>0</v>
      </c>
      <c r="N141" s="204"/>
      <c r="O141" s="205"/>
      <c r="P141" s="203">
        <f>SUM(P142:P146)</f>
        <v>0</v>
      </c>
      <c r="Q141" s="204"/>
      <c r="R141" s="205"/>
      <c r="S141" s="203">
        <f>SUM(S142:S146)</f>
        <v>0</v>
      </c>
      <c r="T141" s="204"/>
      <c r="U141" s="205"/>
      <c r="V141" s="199">
        <f t="shared" si="3"/>
        <v>0</v>
      </c>
      <c r="W141" s="200"/>
      <c r="X141" s="200"/>
    </row>
    <row r="142" spans="1:24">
      <c r="A142" s="210" t="s">
        <v>155</v>
      </c>
      <c r="B142" s="210" t="s">
        <v>48</v>
      </c>
      <c r="C142" s="210" t="s">
        <v>48</v>
      </c>
      <c r="D142" s="206">
        <f>SUMIF('PB4'!$J$3:$J$201,"D4.4.1-Staff Costs",'PB4'!$I$3:$I$201)</f>
        <v>0</v>
      </c>
      <c r="E142" s="207"/>
      <c r="F142" s="208"/>
      <c r="G142" s="206">
        <f>SUMIF('PB4'!$J$3:$J$201,"D4.4.1-Office and Administration",'PB4'!$I$3:$I$201)</f>
        <v>0</v>
      </c>
      <c r="H142" s="207"/>
      <c r="I142" s="208"/>
      <c r="J142" s="206">
        <f>SUMIF('PB4'!$J$3:$J$201,"D4.4.1-Travel and Accommodation",'PB4'!$I$3:$I$201)</f>
        <v>0</v>
      </c>
      <c r="K142" s="207"/>
      <c r="L142" s="208"/>
      <c r="M142" s="206">
        <f>SUMIF('PB4'!$J$3:$J$201,"D4.4.1-External Expertise and Services",'PB4'!$I$3:$I$201)</f>
        <v>0</v>
      </c>
      <c r="N142" s="207"/>
      <c r="O142" s="208"/>
      <c r="P142" s="206">
        <f>SUMIF('PB4'!$J$3:$J$201,"D4.4.1-Equipment",'PB4'!$I$3:$I$201)</f>
        <v>0</v>
      </c>
      <c r="Q142" s="207"/>
      <c r="R142" s="208"/>
      <c r="S142" s="206">
        <f>SUMIF('PB4'!$J$3:$J$201,"D4.4.1-Infrastructure and Works",'PB4'!$I$3:$I$201)</f>
        <v>0</v>
      </c>
      <c r="T142" s="207"/>
      <c r="U142" s="208"/>
      <c r="V142" s="201">
        <f t="shared" si="3"/>
        <v>0</v>
      </c>
      <c r="W142" s="202"/>
      <c r="X142" s="202"/>
    </row>
    <row r="143" spans="1:24">
      <c r="A143" s="210" t="s">
        <v>161</v>
      </c>
      <c r="B143" s="210" t="s">
        <v>49</v>
      </c>
      <c r="C143" s="210" t="s">
        <v>49</v>
      </c>
      <c r="D143" s="206">
        <f>SUMIF('PB4'!$J$3:$J$201,"D4.4.2-Staff Costs",'PB4'!$I$3:$I$201)</f>
        <v>0</v>
      </c>
      <c r="E143" s="207"/>
      <c r="F143" s="208"/>
      <c r="G143" s="206">
        <f>SUMIF('PB4'!$J$3:$J$201,"D4.4.2-Office and Administration",'PB4'!$I$3:$I$201)</f>
        <v>0</v>
      </c>
      <c r="H143" s="207"/>
      <c r="I143" s="208"/>
      <c r="J143" s="206">
        <f>SUMIF('PB4'!$J$3:$J$201,"D4.4.2-Travel and Accommodation",'PB4'!$I$3:$I$201)</f>
        <v>0</v>
      </c>
      <c r="K143" s="207"/>
      <c r="L143" s="208"/>
      <c r="M143" s="206">
        <f>SUMIF('PB4'!$J$3:$J$201,"D4.4.2-External Expertise and Services",'PB4'!$I$3:$I$201)</f>
        <v>0</v>
      </c>
      <c r="N143" s="207"/>
      <c r="O143" s="208"/>
      <c r="P143" s="206">
        <f>SUMIF('PB4'!$J$3:$J$201,"D4.4.2-Equipment",'PB4'!$I$3:$I$201)</f>
        <v>0</v>
      </c>
      <c r="Q143" s="207"/>
      <c r="R143" s="208"/>
      <c r="S143" s="206">
        <f>SUMIF('PB4'!$J$3:$J$201,"D4.4.2-Infrastructure and Works",'PB4'!$I$3:$I$201)</f>
        <v>0</v>
      </c>
      <c r="T143" s="207"/>
      <c r="U143" s="208"/>
      <c r="V143" s="201">
        <f t="shared" si="3"/>
        <v>0</v>
      </c>
      <c r="W143" s="202"/>
      <c r="X143" s="202"/>
    </row>
    <row r="144" spans="1:24">
      <c r="A144" s="210" t="s">
        <v>167</v>
      </c>
      <c r="B144" s="210" t="s">
        <v>50</v>
      </c>
      <c r="C144" s="210" t="s">
        <v>50</v>
      </c>
      <c r="D144" s="206">
        <f>SUMIF('PB4'!$J$3:$J$201,"D4.4.3-Staff Costs",'PB4'!$I$3:$I$201)</f>
        <v>0</v>
      </c>
      <c r="E144" s="207"/>
      <c r="F144" s="208"/>
      <c r="G144" s="206">
        <f>SUMIF('PB4'!$J$3:$J$201,"D4.4.3-Office and Administration",'PB4'!$I$3:$I$201)</f>
        <v>0</v>
      </c>
      <c r="H144" s="207"/>
      <c r="I144" s="208"/>
      <c r="J144" s="206">
        <f>SUMIF('PB4'!$J$3:$J$201,"D4.4.3-Travel and Accommodation",'PB4'!$I$3:$I$201)</f>
        <v>0</v>
      </c>
      <c r="K144" s="207"/>
      <c r="L144" s="208"/>
      <c r="M144" s="206">
        <f>SUMIF('PB4'!$J$3:$J$201,"D4.4.3-External Expertise and Services",'PB4'!$I$3:$I$201)</f>
        <v>0</v>
      </c>
      <c r="N144" s="207"/>
      <c r="O144" s="208"/>
      <c r="P144" s="206">
        <f>SUMIF('PB4'!$J$3:$J$201,"D4.4.3-Equipment",'PB4'!$I$3:$I$201)</f>
        <v>0</v>
      </c>
      <c r="Q144" s="207"/>
      <c r="R144" s="208"/>
      <c r="S144" s="206">
        <f>SUMIF('PB4'!$J$3:$J$201,"D4.4.3-Infrastructure and Works",'PB4'!$I$3:$I$201)</f>
        <v>0</v>
      </c>
      <c r="T144" s="207"/>
      <c r="U144" s="208"/>
      <c r="V144" s="201">
        <f t="shared" si="3"/>
        <v>0</v>
      </c>
      <c r="W144" s="202"/>
      <c r="X144" s="202"/>
    </row>
    <row r="145" spans="1:24">
      <c r="A145" s="210" t="s">
        <v>173</v>
      </c>
      <c r="B145" s="210" t="s">
        <v>51</v>
      </c>
      <c r="C145" s="210" t="s">
        <v>51</v>
      </c>
      <c r="D145" s="206">
        <f>SUMIF('PB4'!$J$3:$J$201,"D4.4.4-Staff Costs",'PB4'!$I$3:$I$201)</f>
        <v>0</v>
      </c>
      <c r="E145" s="207"/>
      <c r="F145" s="208"/>
      <c r="G145" s="206">
        <f>SUMIF('PB4'!$J$3:$J$201,"D4.4.4-Office and Administration",'PB4'!$I$3:$I$201)</f>
        <v>0</v>
      </c>
      <c r="H145" s="207"/>
      <c r="I145" s="208"/>
      <c r="J145" s="206">
        <f>SUMIF('PB4'!$J$3:$J$201,"D4.4.4-Travel and Accommodation",'PB4'!$I$3:$I$201)</f>
        <v>0</v>
      </c>
      <c r="K145" s="207"/>
      <c r="L145" s="208"/>
      <c r="M145" s="206">
        <f>SUMIF('PB4'!$J$3:$J$201,"D4.4.4-External Expertise and Services",'PB4'!$I$3:$I$201)</f>
        <v>0</v>
      </c>
      <c r="N145" s="207"/>
      <c r="O145" s="208"/>
      <c r="P145" s="206">
        <f>SUMIF('PB4'!$J$3:$J$201,"D4.4.4-Equipment",'PB4'!$I$3:$I$201)</f>
        <v>0</v>
      </c>
      <c r="Q145" s="207"/>
      <c r="R145" s="208"/>
      <c r="S145" s="206">
        <f>SUMIF('PB4'!$J$3:$J$201,"D4.4.4-Infrastructure and Works",'PB4'!$I$3:$I$201)</f>
        <v>0</v>
      </c>
      <c r="T145" s="207"/>
      <c r="U145" s="208"/>
      <c r="V145" s="201">
        <f t="shared" si="3"/>
        <v>0</v>
      </c>
      <c r="W145" s="202"/>
      <c r="X145" s="202"/>
    </row>
    <row r="146" spans="1:24">
      <c r="A146" s="210" t="s">
        <v>179</v>
      </c>
      <c r="B146" s="210" t="s">
        <v>52</v>
      </c>
      <c r="C146" s="210" t="s">
        <v>52</v>
      </c>
      <c r="D146" s="206">
        <f>SUMIF('PB4'!$J$3:$J$201,"D4.4.5-Staff Costs",'PB4'!$I$3:$I$201)</f>
        <v>0</v>
      </c>
      <c r="E146" s="207"/>
      <c r="F146" s="208"/>
      <c r="G146" s="206">
        <f>SUMIF('PB4'!$J$3:$J$201,"D4.4.5-Office and Administration",'PB4'!$I$3:$I$201)</f>
        <v>0</v>
      </c>
      <c r="H146" s="207"/>
      <c r="I146" s="208"/>
      <c r="J146" s="206">
        <f>SUMIF('PB4'!$J$3:$J$201,"D4.4.5-Travel and Accommodation",'PB4'!$I$3:$I$201)</f>
        <v>0</v>
      </c>
      <c r="K146" s="207"/>
      <c r="L146" s="208"/>
      <c r="M146" s="206">
        <f>SUMIF('PB4'!$J$3:$J$201,"D4.4.5-External Expertise and Services",'PB4'!$I$3:$I$201)</f>
        <v>0</v>
      </c>
      <c r="N146" s="207"/>
      <c r="O146" s="208"/>
      <c r="P146" s="206">
        <f>SUMIF('PB4'!$J$3:$J$201,"D4.4.5-Equipment",'PB4'!$I$3:$I$201)</f>
        <v>0</v>
      </c>
      <c r="Q146" s="207"/>
      <c r="R146" s="208"/>
      <c r="S146" s="206">
        <f>SUMIF('PB4'!$J$3:$J$201,"D4.4.5-Infrastructure and Works",'PB4'!$I$3:$I$201)</f>
        <v>0</v>
      </c>
      <c r="T146" s="207"/>
      <c r="U146" s="208"/>
      <c r="V146" s="201">
        <f t="shared" si="3"/>
        <v>0</v>
      </c>
      <c r="W146" s="202"/>
      <c r="X146" s="202"/>
    </row>
    <row r="147" spans="1:24">
      <c r="A147" s="213" t="s">
        <v>420</v>
      </c>
      <c r="B147" s="213"/>
      <c r="C147" s="213" t="s">
        <v>418</v>
      </c>
      <c r="D147" s="203">
        <f>SUM(D148:D152)</f>
        <v>0</v>
      </c>
      <c r="E147" s="204"/>
      <c r="F147" s="205"/>
      <c r="G147" s="203">
        <f>SUM(G148:G152)</f>
        <v>0</v>
      </c>
      <c r="H147" s="204"/>
      <c r="I147" s="205"/>
      <c r="J147" s="203">
        <f>SUM(J148:J152)</f>
        <v>0</v>
      </c>
      <c r="K147" s="204"/>
      <c r="L147" s="205"/>
      <c r="M147" s="203">
        <f>SUM(M148:M152)</f>
        <v>0</v>
      </c>
      <c r="N147" s="204"/>
      <c r="O147" s="205"/>
      <c r="P147" s="203">
        <f>SUM(P148:P152)</f>
        <v>0</v>
      </c>
      <c r="Q147" s="204"/>
      <c r="R147" s="205"/>
      <c r="S147" s="203">
        <f>SUM(S148:S152)</f>
        <v>0</v>
      </c>
      <c r="T147" s="204"/>
      <c r="U147" s="205"/>
      <c r="V147" s="199">
        <f t="shared" si="3"/>
        <v>0</v>
      </c>
      <c r="W147" s="200"/>
      <c r="X147" s="200"/>
    </row>
    <row r="148" spans="1:24">
      <c r="A148" s="210" t="s">
        <v>156</v>
      </c>
      <c r="B148" s="210" t="s">
        <v>53</v>
      </c>
      <c r="C148" s="210" t="s">
        <v>53</v>
      </c>
      <c r="D148" s="206">
        <f>SUMIF('PB4'!$J$3:$J$201,"D5.4.1-Staff Costs",'PB4'!$I$3:$I$201)</f>
        <v>0</v>
      </c>
      <c r="E148" s="207"/>
      <c r="F148" s="208"/>
      <c r="G148" s="206">
        <f>SUMIF('PB4'!$J$3:$J$201,"D5.4.1-Office and Administration",'PB4'!$I$3:$I$201)</f>
        <v>0</v>
      </c>
      <c r="H148" s="207"/>
      <c r="I148" s="208"/>
      <c r="J148" s="206">
        <f>SUMIF('PB4'!$J$3:$J$201,"D5.4.1-Travel and Accommodation",'PB4'!$I$3:$I$201)</f>
        <v>0</v>
      </c>
      <c r="K148" s="207"/>
      <c r="L148" s="208"/>
      <c r="M148" s="206">
        <f>SUMIF('PB4'!$J$3:$J$201,"D5.4.1-External Expertise and Services",'PB4'!$I$3:$I$201)</f>
        <v>0</v>
      </c>
      <c r="N148" s="207"/>
      <c r="O148" s="208"/>
      <c r="P148" s="206">
        <f>SUMIF('PB4'!$J$3:$J$201,"D5.4.1-Equipment",'PB4'!$I$3:$I$201)</f>
        <v>0</v>
      </c>
      <c r="Q148" s="207"/>
      <c r="R148" s="208"/>
      <c r="S148" s="206">
        <f>SUMIF('PB4'!$J$3:$J$201,"D5.4.1-Infrastructure and Works",'PB4'!$I$3:$I$201)</f>
        <v>0</v>
      </c>
      <c r="T148" s="207"/>
      <c r="U148" s="208"/>
      <c r="V148" s="201">
        <f t="shared" si="3"/>
        <v>0</v>
      </c>
      <c r="W148" s="202"/>
      <c r="X148" s="202"/>
    </row>
    <row r="149" spans="1:24">
      <c r="A149" s="210" t="s">
        <v>162</v>
      </c>
      <c r="B149" s="210" t="s">
        <v>54</v>
      </c>
      <c r="C149" s="210" t="s">
        <v>54</v>
      </c>
      <c r="D149" s="206">
        <f>SUMIF('PB4'!$J$3:$J$201,"D5.4.2-Staff Costs",'PB4'!$I$3:$I$201)</f>
        <v>0</v>
      </c>
      <c r="E149" s="207"/>
      <c r="F149" s="208"/>
      <c r="G149" s="206">
        <f>SUMIF('PB4'!$J$3:$J$201,"D5.4.2-Office and Administration",'PB4'!$I$3:$I$201)</f>
        <v>0</v>
      </c>
      <c r="H149" s="207"/>
      <c r="I149" s="208"/>
      <c r="J149" s="206">
        <f>SUMIF('PB4'!$J$3:$J$201,"D5.4.2-Travel and Accommodation",'PB4'!$I$3:$I$201)</f>
        <v>0</v>
      </c>
      <c r="K149" s="207"/>
      <c r="L149" s="208"/>
      <c r="M149" s="206">
        <f>SUMIF('PB4'!$J$3:$J$201,"D5.4.2-External Expertise and Services",'PB4'!$I$3:$I$201)</f>
        <v>0</v>
      </c>
      <c r="N149" s="207"/>
      <c r="O149" s="208"/>
      <c r="P149" s="206">
        <f>SUMIF('PB4'!$J$3:$J$201,"D5.4.2-Equipment",'PB4'!$I$3:$I$201)</f>
        <v>0</v>
      </c>
      <c r="Q149" s="207"/>
      <c r="R149" s="208"/>
      <c r="S149" s="206">
        <f>SUMIF('PB4'!$J$3:$J$201,"D5.4.2-Infrastructure and Works",'PB4'!$I$3:$I$201)</f>
        <v>0</v>
      </c>
      <c r="T149" s="207"/>
      <c r="U149" s="208"/>
      <c r="V149" s="201">
        <f t="shared" si="3"/>
        <v>0</v>
      </c>
      <c r="W149" s="202"/>
      <c r="X149" s="202"/>
    </row>
    <row r="150" spans="1:24">
      <c r="A150" s="210" t="s">
        <v>168</v>
      </c>
      <c r="B150" s="210" t="s">
        <v>55</v>
      </c>
      <c r="C150" s="210" t="s">
        <v>55</v>
      </c>
      <c r="D150" s="206">
        <f>SUMIF('PB4'!$J$3:$J$201,"D5.4.3-Staff Costs",'PB4'!$I$3:$I$201)</f>
        <v>0</v>
      </c>
      <c r="E150" s="207"/>
      <c r="F150" s="208"/>
      <c r="G150" s="206">
        <f>SUMIF('PB4'!$J$3:$J$201,"D5.4.3-Office and Administration",'PB4'!$I$3:$I$201)</f>
        <v>0</v>
      </c>
      <c r="H150" s="207"/>
      <c r="I150" s="208"/>
      <c r="J150" s="206">
        <f>SUMIF('PB4'!$J$3:$J$201,"D5.4.3-Travel and Accommodation",'PB4'!$I$3:$I$201)</f>
        <v>0</v>
      </c>
      <c r="K150" s="207"/>
      <c r="L150" s="208"/>
      <c r="M150" s="206">
        <f>SUMIF('PB4'!$J$3:$J$201,"D5.4.3-External Expertise and Services",'PB4'!$I$3:$I$201)</f>
        <v>0</v>
      </c>
      <c r="N150" s="207"/>
      <c r="O150" s="208"/>
      <c r="P150" s="206">
        <f>SUMIF('PB4'!$J$3:$J$201,"D5.4.3-Equipment",'PB4'!$I$3:$I$201)</f>
        <v>0</v>
      </c>
      <c r="Q150" s="207"/>
      <c r="R150" s="208"/>
      <c r="S150" s="206">
        <f>SUMIF('PB4'!$J$3:$J$201,"D5.4.3-Infrastructure and Works",'PB4'!$I$3:$I$201)</f>
        <v>0</v>
      </c>
      <c r="T150" s="207"/>
      <c r="U150" s="208"/>
      <c r="V150" s="201">
        <f t="shared" si="3"/>
        <v>0</v>
      </c>
      <c r="W150" s="202"/>
      <c r="X150" s="202"/>
    </row>
    <row r="151" spans="1:24">
      <c r="A151" s="210" t="s">
        <v>174</v>
      </c>
      <c r="B151" s="210" t="s">
        <v>56</v>
      </c>
      <c r="C151" s="210" t="s">
        <v>56</v>
      </c>
      <c r="D151" s="206">
        <f>SUMIF('PB4'!$J$3:$J$201,"D5.4.4-Staff Costs",'PB4'!$I$3:$I$201)</f>
        <v>0</v>
      </c>
      <c r="E151" s="207"/>
      <c r="F151" s="208"/>
      <c r="G151" s="206">
        <f>SUMIF('PB4'!$J$3:$J$201,"D5.4.4-Office and Administration",'PB4'!$I$3:$I$201)</f>
        <v>0</v>
      </c>
      <c r="H151" s="207"/>
      <c r="I151" s="208"/>
      <c r="J151" s="206">
        <f>SUMIF('PB4'!$J$3:$J$201,"D5.4.4-Travel and Accommodation",'PB4'!$I$3:$I$201)</f>
        <v>0</v>
      </c>
      <c r="K151" s="207"/>
      <c r="L151" s="208"/>
      <c r="M151" s="206">
        <f>SUMIF('PB4'!$J$3:$J$201,"D5.4.4-External Expertise and Services",'PB4'!$I$3:$I$201)</f>
        <v>0</v>
      </c>
      <c r="N151" s="207"/>
      <c r="O151" s="208"/>
      <c r="P151" s="206">
        <f>SUMIF('PB4'!$J$3:$J$201,"D5.4.4-Equipment",'PB4'!$I$3:$I$201)</f>
        <v>0</v>
      </c>
      <c r="Q151" s="207"/>
      <c r="R151" s="208"/>
      <c r="S151" s="206">
        <f>SUMIF('PB4'!$J$3:$J$201,"D5.4.4-Infrastructure and Works",'PB4'!$I$3:$I$201)</f>
        <v>0</v>
      </c>
      <c r="T151" s="207"/>
      <c r="U151" s="208"/>
      <c r="V151" s="201">
        <f t="shared" si="3"/>
        <v>0</v>
      </c>
      <c r="W151" s="202"/>
      <c r="X151" s="202"/>
    </row>
    <row r="152" spans="1:24">
      <c r="A152" s="210" t="s">
        <v>180</v>
      </c>
      <c r="B152" s="210" t="s">
        <v>57</v>
      </c>
      <c r="C152" s="210" t="s">
        <v>57</v>
      </c>
      <c r="D152" s="206">
        <f>SUMIF('PB4'!$J$3:$J$201,"D5.4.5-Staff Costs",'PB4'!$I$3:$I$201)</f>
        <v>0</v>
      </c>
      <c r="E152" s="207"/>
      <c r="F152" s="208"/>
      <c r="G152" s="206">
        <f>SUMIF('PB4'!$J$3:$J$201,"D5.4.5-Office and Administration",'PB4'!$I$3:$I$201)</f>
        <v>0</v>
      </c>
      <c r="H152" s="207"/>
      <c r="I152" s="208"/>
      <c r="J152" s="206">
        <f>SUMIF('PB4'!$J$3:$J$201,"D5.4.5-Travel and Accommodation",'PB4'!$I$3:$I$201)</f>
        <v>0</v>
      </c>
      <c r="K152" s="207"/>
      <c r="L152" s="208"/>
      <c r="M152" s="206">
        <f>SUMIF('PB4'!$J$3:$J$201,"D5.4.5-External Expertise and Services",'PB4'!$I$3:$I$201)</f>
        <v>0</v>
      </c>
      <c r="N152" s="207"/>
      <c r="O152" s="208"/>
      <c r="P152" s="206">
        <f>SUMIF('PB4'!$J$3:$J$201,"D5.4.5-Equipment",'PB4'!$I$3:$I$201)</f>
        <v>0</v>
      </c>
      <c r="Q152" s="207"/>
      <c r="R152" s="208"/>
      <c r="S152" s="206">
        <f>SUMIF('PB4'!$J$3:$J$201,"D5.4.5-Infrastructure and Works",'PB4'!$I$3:$I$201)</f>
        <v>0</v>
      </c>
      <c r="T152" s="207"/>
      <c r="U152" s="208"/>
      <c r="V152" s="201">
        <f t="shared" si="3"/>
        <v>0</v>
      </c>
      <c r="W152" s="202"/>
      <c r="X152" s="202"/>
    </row>
    <row r="153" spans="1:24">
      <c r="A153" s="213" t="s">
        <v>421</v>
      </c>
      <c r="B153" s="213"/>
      <c r="C153" s="213" t="s">
        <v>418</v>
      </c>
      <c r="D153" s="203">
        <f>SUM(D154:D158)</f>
        <v>0</v>
      </c>
      <c r="E153" s="204"/>
      <c r="F153" s="205"/>
      <c r="G153" s="203">
        <f>SUM(G154:G158)</f>
        <v>0</v>
      </c>
      <c r="H153" s="204"/>
      <c r="I153" s="205"/>
      <c r="J153" s="203">
        <f>SUM(J154:J158)</f>
        <v>0</v>
      </c>
      <c r="K153" s="204"/>
      <c r="L153" s="205"/>
      <c r="M153" s="203">
        <f>SUM(M154:M158)</f>
        <v>0</v>
      </c>
      <c r="N153" s="204"/>
      <c r="O153" s="205"/>
      <c r="P153" s="203">
        <f>SUM(P154:P158)</f>
        <v>0</v>
      </c>
      <c r="Q153" s="204"/>
      <c r="R153" s="205"/>
      <c r="S153" s="203">
        <f>SUM(S154:S158)</f>
        <v>0</v>
      </c>
      <c r="T153" s="204"/>
      <c r="U153" s="205"/>
      <c r="V153" s="199">
        <f t="shared" si="3"/>
        <v>0</v>
      </c>
      <c r="W153" s="200"/>
      <c r="X153" s="200"/>
    </row>
    <row r="154" spans="1:24">
      <c r="A154" s="210" t="s">
        <v>157</v>
      </c>
      <c r="B154" s="210" t="s">
        <v>58</v>
      </c>
      <c r="C154" s="210" t="s">
        <v>58</v>
      </c>
      <c r="D154" s="206">
        <f>SUMIF('PB4'!$J$3:$J$201,"D6.4.1-Staff Costs",'PB4'!$I$3:$I$201)</f>
        <v>0</v>
      </c>
      <c r="E154" s="207"/>
      <c r="F154" s="208"/>
      <c r="G154" s="206">
        <f>SUMIF('PB4'!$J$3:$J$201,"D6.4.1-Office and Administration",'PB4'!$I$3:$I$201)</f>
        <v>0</v>
      </c>
      <c r="H154" s="207"/>
      <c r="I154" s="208"/>
      <c r="J154" s="206">
        <f>SUMIF('PB4'!$J$3:$J$201,"D6.4.1-Travel and Accommodation",'PB4'!$I$3:$I$201)</f>
        <v>0</v>
      </c>
      <c r="K154" s="207"/>
      <c r="L154" s="208"/>
      <c r="M154" s="206">
        <f>SUMIF('PB4'!$J$3:$J$201,"D6.4.1-External Expertise and Services",'PB4'!$I$3:$I$201)</f>
        <v>0</v>
      </c>
      <c r="N154" s="207"/>
      <c r="O154" s="208"/>
      <c r="P154" s="206">
        <f>SUMIF('PB4'!$J$3:$J$201,"D6.4.1-Equipment",'PB4'!$I$3:$I$201)</f>
        <v>0</v>
      </c>
      <c r="Q154" s="207"/>
      <c r="R154" s="208"/>
      <c r="S154" s="206">
        <f>SUMIF('PB4'!$J$3:$J$201,"D6.4.1-Infrastructure and Works",'PB4'!$I$3:$I$201)</f>
        <v>0</v>
      </c>
      <c r="T154" s="207"/>
      <c r="U154" s="208"/>
      <c r="V154" s="201">
        <f t="shared" si="3"/>
        <v>0</v>
      </c>
      <c r="W154" s="202"/>
      <c r="X154" s="202"/>
    </row>
    <row r="155" spans="1:24">
      <c r="A155" s="210" t="s">
        <v>163</v>
      </c>
      <c r="B155" s="210" t="s">
        <v>59</v>
      </c>
      <c r="C155" s="210" t="s">
        <v>59</v>
      </c>
      <c r="D155" s="206">
        <f>SUMIF('PB4'!$J$3:$J$201,"D6.4.2-Staff Costs",'PB4'!$I$3:$I$201)</f>
        <v>0</v>
      </c>
      <c r="E155" s="207"/>
      <c r="F155" s="208"/>
      <c r="G155" s="206">
        <f>SUMIF('PB4'!$J$3:$J$201,"D6.4.2-Office and Administration",'PB4'!$I$3:$I$201)</f>
        <v>0</v>
      </c>
      <c r="H155" s="207"/>
      <c r="I155" s="208"/>
      <c r="J155" s="206">
        <f>SUMIF('PB4'!$J$3:$J$201,"D6.4.2-Travel and Accommodation",'PB4'!$I$3:$I$201)</f>
        <v>0</v>
      </c>
      <c r="K155" s="207"/>
      <c r="L155" s="208"/>
      <c r="M155" s="206">
        <f>SUMIF('PB4'!$J$3:$J$201,"D6.4.2-External Expertise and Services",'PB4'!$I$3:$I$201)</f>
        <v>0</v>
      </c>
      <c r="N155" s="207"/>
      <c r="O155" s="208"/>
      <c r="P155" s="206">
        <f>SUMIF('PB4'!$J$3:$J$201,"D6.4.2-Equipment",'PB4'!$I$3:$I$201)</f>
        <v>0</v>
      </c>
      <c r="Q155" s="207"/>
      <c r="R155" s="208"/>
      <c r="S155" s="206">
        <f>SUMIF('PB4'!$J$3:$J$201,"D6.4.2-Infrastructure and Works",'PB4'!$I$3:$I$201)</f>
        <v>0</v>
      </c>
      <c r="T155" s="207"/>
      <c r="U155" s="208"/>
      <c r="V155" s="201">
        <f t="shared" si="3"/>
        <v>0</v>
      </c>
      <c r="W155" s="202"/>
      <c r="X155" s="202"/>
    </row>
    <row r="156" spans="1:24">
      <c r="A156" s="210" t="s">
        <v>169</v>
      </c>
      <c r="B156" s="210" t="s">
        <v>60</v>
      </c>
      <c r="C156" s="210" t="s">
        <v>60</v>
      </c>
      <c r="D156" s="206">
        <f>SUMIF('PB4'!$J$3:$J$201,"D6.4.3-Staff Costs",'PB4'!$I$3:$I$201)</f>
        <v>0</v>
      </c>
      <c r="E156" s="207"/>
      <c r="F156" s="208"/>
      <c r="G156" s="206">
        <f>SUMIF('PB4'!$J$3:$J$201,"D6.4.3-Office and Administration",'PB4'!$I$3:$I$201)</f>
        <v>0</v>
      </c>
      <c r="H156" s="207"/>
      <c r="I156" s="208"/>
      <c r="J156" s="206">
        <f>SUMIF('PB4'!$J$3:$J$201,"D6.4.3-Travel and Accommodation",'PB4'!$I$3:$I$201)</f>
        <v>0</v>
      </c>
      <c r="K156" s="207"/>
      <c r="L156" s="208"/>
      <c r="M156" s="206">
        <f>SUMIF('PB4'!$J$3:$J$201,"D6.4.3-External Expertise and Services",'PB4'!$I$3:$I$201)</f>
        <v>0</v>
      </c>
      <c r="N156" s="207"/>
      <c r="O156" s="208"/>
      <c r="P156" s="206">
        <f>SUMIF('PB4'!$J$3:$J$201,"D6.4.3-Equipment",'PB4'!$I$3:$I$201)</f>
        <v>0</v>
      </c>
      <c r="Q156" s="207"/>
      <c r="R156" s="208"/>
      <c r="S156" s="206">
        <f>SUMIF('PB4'!$J$3:$J$201,"D6.4.3-Infrastructure and Works",'PB4'!$I$3:$I$201)</f>
        <v>0</v>
      </c>
      <c r="T156" s="207"/>
      <c r="U156" s="208"/>
      <c r="V156" s="201">
        <f t="shared" si="3"/>
        <v>0</v>
      </c>
      <c r="W156" s="202"/>
      <c r="X156" s="202"/>
    </row>
    <row r="157" spans="1:24">
      <c r="A157" s="210" t="s">
        <v>175</v>
      </c>
      <c r="B157" s="210" t="s">
        <v>61</v>
      </c>
      <c r="C157" s="210" t="s">
        <v>61</v>
      </c>
      <c r="D157" s="206">
        <f>SUMIF('PB4'!$J$3:$J$201,"D6.4.4-Staff Costs",'PB4'!$I$3:$I$201)</f>
        <v>0</v>
      </c>
      <c r="E157" s="207"/>
      <c r="F157" s="208"/>
      <c r="G157" s="206">
        <f>SUMIF('PB4'!$J$3:$J$201,"D6.4.4-Office and Administration",'PB4'!$I$3:$I$201)</f>
        <v>0</v>
      </c>
      <c r="H157" s="207"/>
      <c r="I157" s="208"/>
      <c r="J157" s="206">
        <f>SUMIF('PB4'!$J$3:$J$201,"D6.4.4-Travel and Accommodation",'PB4'!$I$3:$I$201)</f>
        <v>0</v>
      </c>
      <c r="K157" s="207"/>
      <c r="L157" s="208"/>
      <c r="M157" s="206">
        <f>SUMIF('PB4'!$J$3:$J$201,"D6.4.4-External Expertise and Services",'PB4'!$I$3:$I$201)</f>
        <v>0</v>
      </c>
      <c r="N157" s="207"/>
      <c r="O157" s="208"/>
      <c r="P157" s="206">
        <f>SUMIF('PB4'!$J$3:$J$201,"D6.4.4-Equipment",'PB4'!$I$3:$I$201)</f>
        <v>0</v>
      </c>
      <c r="Q157" s="207"/>
      <c r="R157" s="208"/>
      <c r="S157" s="206">
        <f>SUMIF('PB4'!$J$3:$J$201,"D6.4.4-Infrastructure and Works",'PB4'!$I$3:$I$201)</f>
        <v>0</v>
      </c>
      <c r="T157" s="207"/>
      <c r="U157" s="208"/>
      <c r="V157" s="201">
        <f t="shared" si="3"/>
        <v>0</v>
      </c>
      <c r="W157" s="202"/>
      <c r="X157" s="202"/>
    </row>
    <row r="158" spans="1:24">
      <c r="A158" s="210" t="s">
        <v>181</v>
      </c>
      <c r="B158" s="210"/>
      <c r="C158" s="210"/>
      <c r="D158" s="206">
        <f>SUMIF('PB4'!$J$3:$J$201,"D6.4.5-Staff Costs",'PB4'!$I$3:$I$201)</f>
        <v>0</v>
      </c>
      <c r="E158" s="207"/>
      <c r="F158" s="208"/>
      <c r="G158" s="206">
        <f>SUMIF('PB4'!$J$3:$J$201,"D6.4.5-Office and Administration",'PB4'!$I$3:$I$201)</f>
        <v>0</v>
      </c>
      <c r="H158" s="207"/>
      <c r="I158" s="208"/>
      <c r="J158" s="206">
        <f>SUMIF('PB4'!$J$3:$J$201,"D6.4.5-Travel and Accommodation",'PB4'!$I$3:$I$201)</f>
        <v>0</v>
      </c>
      <c r="K158" s="207"/>
      <c r="L158" s="208"/>
      <c r="M158" s="206">
        <f>SUMIF('PB4'!$J$3:$J$201,"D6.4.5-External Expertise and Services",'PB4'!$I$3:$I$201)</f>
        <v>0</v>
      </c>
      <c r="N158" s="207"/>
      <c r="O158" s="208"/>
      <c r="P158" s="206">
        <f>SUMIF('PB4'!$J$3:$J$201,"D6.4.5-Equipment",'PB4'!$I$3:$I$201)</f>
        <v>0</v>
      </c>
      <c r="Q158" s="207"/>
      <c r="R158" s="208"/>
      <c r="S158" s="206">
        <f>SUMIF('PB4'!$J$3:$J$201,"D6.4.5-Infrastructure and Works",'PB4'!$I$3:$I$201)</f>
        <v>0</v>
      </c>
      <c r="T158" s="207"/>
      <c r="U158" s="208"/>
      <c r="V158" s="201">
        <f t="shared" si="3"/>
        <v>0</v>
      </c>
      <c r="W158" s="202"/>
      <c r="X158" s="202"/>
    </row>
    <row r="159" spans="1:24">
      <c r="A159" s="221" t="s">
        <v>423</v>
      </c>
      <c r="B159" s="221"/>
      <c r="C159" s="221"/>
      <c r="D159" s="224">
        <f>D153+D147+D141+D135+D129+D123</f>
        <v>0</v>
      </c>
      <c r="E159" s="225"/>
      <c r="F159" s="226"/>
      <c r="G159" s="224">
        <f>G153+G147+G141+G135+G129+G123</f>
        <v>0</v>
      </c>
      <c r="H159" s="225"/>
      <c r="I159" s="226"/>
      <c r="J159" s="224">
        <f>J153+J147+J141+J135+J129+J123</f>
        <v>0</v>
      </c>
      <c r="K159" s="225"/>
      <c r="L159" s="226"/>
      <c r="M159" s="224">
        <f>M153+M147+M141+M135+M129+M123</f>
        <v>0</v>
      </c>
      <c r="N159" s="225"/>
      <c r="O159" s="226"/>
      <c r="P159" s="224">
        <f>P153+P147+P141+P135+P129+P123</f>
        <v>0</v>
      </c>
      <c r="Q159" s="225"/>
      <c r="R159" s="226"/>
      <c r="S159" s="224">
        <f>S153+S147+S141+S135+S129+S123</f>
        <v>0</v>
      </c>
      <c r="T159" s="225"/>
      <c r="U159" s="226"/>
      <c r="V159" s="222">
        <f t="shared" si="3"/>
        <v>0</v>
      </c>
      <c r="W159" s="223"/>
      <c r="X159" s="201"/>
    </row>
    <row r="160" spans="1:24"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8"/>
      <c r="W160" s="48"/>
      <c r="X160" s="48"/>
    </row>
    <row r="161" spans="1:24" ht="15" customHeight="1">
      <c r="A161" s="211" t="s">
        <v>499</v>
      </c>
      <c r="B161" s="211"/>
      <c r="C161" s="211"/>
      <c r="D161" s="214" t="s">
        <v>23</v>
      </c>
      <c r="E161" s="215"/>
      <c r="F161" s="216"/>
      <c r="G161" s="214" t="s">
        <v>24</v>
      </c>
      <c r="H161" s="215"/>
      <c r="I161" s="216"/>
      <c r="J161" s="214" t="s">
        <v>474</v>
      </c>
      <c r="K161" s="215"/>
      <c r="L161" s="216"/>
      <c r="M161" s="214" t="s">
        <v>25</v>
      </c>
      <c r="N161" s="215"/>
      <c r="O161" s="216"/>
      <c r="P161" s="214" t="s">
        <v>26</v>
      </c>
      <c r="Q161" s="215"/>
      <c r="R161" s="216"/>
      <c r="S161" s="214" t="s">
        <v>406</v>
      </c>
      <c r="T161" s="215"/>
      <c r="U161" s="216"/>
      <c r="V161" s="220" t="s">
        <v>423</v>
      </c>
      <c r="W161" s="220"/>
      <c r="X161" s="220"/>
    </row>
    <row r="162" spans="1:24" ht="48.75" customHeight="1">
      <c r="A162" s="212">
        <f>'Cover page'!C26</f>
        <v>0</v>
      </c>
      <c r="B162" s="212"/>
      <c r="C162" s="212"/>
      <c r="D162" s="217"/>
      <c r="E162" s="218"/>
      <c r="F162" s="219"/>
      <c r="G162" s="217"/>
      <c r="H162" s="218"/>
      <c r="I162" s="219"/>
      <c r="J162" s="217"/>
      <c r="K162" s="218"/>
      <c r="L162" s="219"/>
      <c r="M162" s="217"/>
      <c r="N162" s="218"/>
      <c r="O162" s="219"/>
      <c r="P162" s="217"/>
      <c r="Q162" s="218"/>
      <c r="R162" s="219"/>
      <c r="S162" s="217"/>
      <c r="T162" s="218"/>
      <c r="U162" s="219"/>
      <c r="V162" s="220"/>
      <c r="W162" s="220"/>
      <c r="X162" s="220"/>
    </row>
    <row r="163" spans="1:24">
      <c r="A163" s="213" t="s">
        <v>415</v>
      </c>
      <c r="B163" s="213"/>
      <c r="C163" s="213"/>
      <c r="D163" s="203">
        <f>SUM(D164:D168)</f>
        <v>0</v>
      </c>
      <c r="E163" s="204"/>
      <c r="F163" s="205"/>
      <c r="G163" s="203">
        <f>SUM(G164:G168)</f>
        <v>0</v>
      </c>
      <c r="H163" s="204"/>
      <c r="I163" s="205"/>
      <c r="J163" s="203">
        <f>SUM(J164:J168)</f>
        <v>0</v>
      </c>
      <c r="K163" s="204"/>
      <c r="L163" s="205"/>
      <c r="M163" s="203">
        <f>SUM(M164:M168)</f>
        <v>0</v>
      </c>
      <c r="N163" s="204"/>
      <c r="O163" s="205"/>
      <c r="P163" s="203">
        <f>SUM(P164:P168)</f>
        <v>0</v>
      </c>
      <c r="Q163" s="204"/>
      <c r="R163" s="205"/>
      <c r="S163" s="203">
        <f>SUM(S164:S168)</f>
        <v>0</v>
      </c>
      <c r="T163" s="204"/>
      <c r="U163" s="205"/>
      <c r="V163" s="199">
        <f t="shared" ref="V163:V199" si="4">SUM(D163:S163)</f>
        <v>0</v>
      </c>
      <c r="W163" s="200"/>
      <c r="X163" s="200"/>
    </row>
    <row r="164" spans="1:24">
      <c r="A164" s="210" t="s">
        <v>194</v>
      </c>
      <c r="B164" s="210"/>
      <c r="C164" s="210"/>
      <c r="D164" s="206">
        <f>SUMIF('PB5'!$J$3:$J$201,"D1.5.1-Staff Costs",'PB5'!$I$3:$I$201)</f>
        <v>0</v>
      </c>
      <c r="E164" s="207"/>
      <c r="F164" s="208"/>
      <c r="G164" s="206">
        <f>SUMIF('PB5'!$J$3:$J$201,"D1.5.1-Office and Administration",'PB5'!$I$3:$I$201)</f>
        <v>0</v>
      </c>
      <c r="H164" s="207"/>
      <c r="I164" s="208"/>
      <c r="J164" s="206">
        <f>SUMIF('PB5'!$J$3:$J$201,"D1.5.1-Travel and Accommodation",'PB5'!$I$3:$I$201)</f>
        <v>0</v>
      </c>
      <c r="K164" s="207"/>
      <c r="L164" s="208"/>
      <c r="M164" s="206">
        <f>SUMIF('PB5'!$J$3:$J$201,"D1.5.1-External Expertise and Services",'PB5'!$I$3:$I$201)</f>
        <v>0</v>
      </c>
      <c r="N164" s="207"/>
      <c r="O164" s="208"/>
      <c r="P164" s="206">
        <f>SUMIF('PB5'!$J$3:$J$201,"D1.5.1-Equipment",'PB5'!$I$3:$I$201)</f>
        <v>0</v>
      </c>
      <c r="Q164" s="207"/>
      <c r="R164" s="208"/>
      <c r="S164" s="206">
        <f>SUMIF('PB5'!$J$3:$J$201,"D1.5.1-Infrastructure and Works",'PB5'!$I$3:$I$201)</f>
        <v>0</v>
      </c>
      <c r="T164" s="207"/>
      <c r="U164" s="208"/>
      <c r="V164" s="201">
        <f t="shared" si="4"/>
        <v>0</v>
      </c>
      <c r="W164" s="202"/>
      <c r="X164" s="202"/>
    </row>
    <row r="165" spans="1:24">
      <c r="A165" s="210" t="s">
        <v>200</v>
      </c>
      <c r="B165" s="210"/>
      <c r="C165" s="210"/>
      <c r="D165" s="206">
        <f>SUMIF('PB5'!$J$3:$J$201,"D1.5.2-Staff Costs",'PB5'!$I$3:$I$201)</f>
        <v>0</v>
      </c>
      <c r="E165" s="207"/>
      <c r="F165" s="208"/>
      <c r="G165" s="206">
        <f>SUMIF('PB5'!$J$3:$J$201,"D1.5.2-Office and Administration",'PB5'!$I$3:$I$201)</f>
        <v>0</v>
      </c>
      <c r="H165" s="207"/>
      <c r="I165" s="208"/>
      <c r="J165" s="206">
        <f>SUMIF('PB5'!$J$3:$J$201,"D1.5.2-Travel and Accommodation",'PB5'!$I$3:$I$201)</f>
        <v>0</v>
      </c>
      <c r="K165" s="207"/>
      <c r="L165" s="208"/>
      <c r="M165" s="206">
        <f>SUMIF('PB5'!$J$3:$J$201,"D1.5.2-External Expertise and Services",'PB5'!$I$3:$I$201)</f>
        <v>0</v>
      </c>
      <c r="N165" s="207"/>
      <c r="O165" s="208"/>
      <c r="P165" s="206">
        <f>SUMIF('PB5'!$J$3:$J$201,"D1.5.2-Equipment",'PB5'!$I$3:$I$201)</f>
        <v>0</v>
      </c>
      <c r="Q165" s="207"/>
      <c r="R165" s="208"/>
      <c r="S165" s="206">
        <f>SUMIF('PB5'!$J$3:$J$201,"D1.5.2-Infrastructure and Works",'PB5'!$I$3:$I$201)</f>
        <v>0</v>
      </c>
      <c r="T165" s="207"/>
      <c r="U165" s="208"/>
      <c r="V165" s="201">
        <f t="shared" si="4"/>
        <v>0</v>
      </c>
      <c r="W165" s="202"/>
      <c r="X165" s="202"/>
    </row>
    <row r="166" spans="1:24">
      <c r="A166" s="210" t="s">
        <v>206</v>
      </c>
      <c r="B166" s="210" t="s">
        <v>35</v>
      </c>
      <c r="C166" s="210" t="s">
        <v>35</v>
      </c>
      <c r="D166" s="206">
        <f>SUMIF('PB5'!$J$3:$J$201,"D1.5.3-Staff Costs",'PB5'!$I$3:$I$201)</f>
        <v>0</v>
      </c>
      <c r="E166" s="207"/>
      <c r="F166" s="208"/>
      <c r="G166" s="206">
        <f>SUMIF('PB5'!$J$3:$J$201,"D1.5.3-Office and Administration",'PB5'!$I$3:$I$201)</f>
        <v>0</v>
      </c>
      <c r="H166" s="207"/>
      <c r="I166" s="208"/>
      <c r="J166" s="206">
        <f>SUMIF('PB5'!$J$3:$J$201,"D1.5.3-Travel and Accommodation",'PB5'!$I$3:$I$201)</f>
        <v>0</v>
      </c>
      <c r="K166" s="207"/>
      <c r="L166" s="208"/>
      <c r="M166" s="206">
        <f>SUMIF('PB5'!$J$3:$J$201,"D1.5.3-External Expertise and Services",'PB5'!$I$3:$I$201)</f>
        <v>0</v>
      </c>
      <c r="N166" s="207"/>
      <c r="O166" s="208"/>
      <c r="P166" s="206">
        <f>SUMIF('PB5'!$J$3:$J$201,"D1.5.3-Equipment",'PB5'!$I$3:$I$201)</f>
        <v>0</v>
      </c>
      <c r="Q166" s="207"/>
      <c r="R166" s="208"/>
      <c r="S166" s="206">
        <f>SUMIF('PB5'!$J$3:$J$201,"D1.5.3-Infrastructure and Works",'PB5'!$I$3:$I$201)</f>
        <v>0</v>
      </c>
      <c r="T166" s="207"/>
      <c r="U166" s="208"/>
      <c r="V166" s="201">
        <f t="shared" si="4"/>
        <v>0</v>
      </c>
      <c r="W166" s="202"/>
      <c r="X166" s="202"/>
    </row>
    <row r="167" spans="1:24">
      <c r="A167" s="210" t="s">
        <v>212</v>
      </c>
      <c r="B167" s="210" t="s">
        <v>36</v>
      </c>
      <c r="C167" s="210" t="s">
        <v>36</v>
      </c>
      <c r="D167" s="206">
        <f>SUMIF('PB5'!$J$3:$J$201,"D1.5.4-Staff Costs",'PB5'!$I$3:$I$201)</f>
        <v>0</v>
      </c>
      <c r="E167" s="207"/>
      <c r="F167" s="208"/>
      <c r="G167" s="206">
        <f>SUMIF('PB5'!$J$3:$J$201,"D1.5.4-Office and Administration",'PB5'!$I$3:$I$201)</f>
        <v>0</v>
      </c>
      <c r="H167" s="207"/>
      <c r="I167" s="208"/>
      <c r="J167" s="206">
        <f>SUMIF('PB5'!$J$3:$J$201,"D1.5.4-Travel and Accommodation",'PB5'!$I$3:$I$201)</f>
        <v>0</v>
      </c>
      <c r="K167" s="207"/>
      <c r="L167" s="208"/>
      <c r="M167" s="206">
        <f>SUMIF('PB5'!$J$3:$J$201,"D1.5.4-External Expertise and Services",'PB5'!$I$3:$I$201)</f>
        <v>0</v>
      </c>
      <c r="N167" s="207"/>
      <c r="O167" s="208"/>
      <c r="P167" s="206">
        <f>SUMIF('PB5'!$J$3:$J$201,"D1.5.4-Equipment",'PB5'!$I$3:$I$201)</f>
        <v>0</v>
      </c>
      <c r="Q167" s="207"/>
      <c r="R167" s="208"/>
      <c r="S167" s="206">
        <f>SUMIF('PB5'!$J$3:$J$201,"D1.5.4-Infrastructure and Works",'PB5'!$I$3:$I$201)</f>
        <v>0</v>
      </c>
      <c r="T167" s="207"/>
      <c r="U167" s="208"/>
      <c r="V167" s="201">
        <f t="shared" si="4"/>
        <v>0</v>
      </c>
      <c r="W167" s="202"/>
      <c r="X167" s="202"/>
    </row>
    <row r="168" spans="1:24">
      <c r="A168" s="210" t="s">
        <v>218</v>
      </c>
      <c r="B168" s="210" t="s">
        <v>37</v>
      </c>
      <c r="C168" s="210" t="s">
        <v>37</v>
      </c>
      <c r="D168" s="206">
        <f>SUMIF('PB5'!$J$3:$J$201,"D1.5.5-Staff Costs",'PB5'!$I$3:$I$201)</f>
        <v>0</v>
      </c>
      <c r="E168" s="207"/>
      <c r="F168" s="208"/>
      <c r="G168" s="206">
        <f>SUMIF('PB5'!$J$3:$J$201,"D1.5.5-Office and Administration",'PB5'!$I$3:$I$201)</f>
        <v>0</v>
      </c>
      <c r="H168" s="207"/>
      <c r="I168" s="208"/>
      <c r="J168" s="206">
        <f>SUMIF('PB5'!$J$3:$J$201,"D1.5.5-Travel and Accommodation",'PB5'!$I$3:$I$201)</f>
        <v>0</v>
      </c>
      <c r="K168" s="207"/>
      <c r="L168" s="208"/>
      <c r="M168" s="206">
        <f>SUMIF('PB5'!$J$3:$J$201,"D1.5.5-External Expertise and Services",'PB5'!$I$3:$I$201)</f>
        <v>0</v>
      </c>
      <c r="N168" s="207"/>
      <c r="O168" s="208"/>
      <c r="P168" s="206">
        <f>SUMIF('PB5'!$J$3:$J$201,"D1.5.5-Equipment",'PB5'!$I$3:$I$201)</f>
        <v>0</v>
      </c>
      <c r="Q168" s="207"/>
      <c r="R168" s="208"/>
      <c r="S168" s="206">
        <f>SUMIF('PB5'!$J$3:$J$201,"D1.5.5-Infrastructure and Works",'PB5'!$I$3:$I$201)</f>
        <v>0</v>
      </c>
      <c r="T168" s="207"/>
      <c r="U168" s="208"/>
      <c r="V168" s="201">
        <f t="shared" si="4"/>
        <v>0</v>
      </c>
      <c r="W168" s="202"/>
      <c r="X168" s="202"/>
    </row>
    <row r="169" spans="1:24">
      <c r="A169" s="213" t="s">
        <v>416</v>
      </c>
      <c r="B169" s="213"/>
      <c r="C169" s="213"/>
      <c r="D169" s="203">
        <f>SUM(D170:D174)</f>
        <v>0</v>
      </c>
      <c r="E169" s="204"/>
      <c r="F169" s="205"/>
      <c r="G169" s="203">
        <f>SUM(G170:G174)</f>
        <v>0</v>
      </c>
      <c r="H169" s="204"/>
      <c r="I169" s="205"/>
      <c r="J169" s="203">
        <f>SUM(J170:J174)</f>
        <v>0</v>
      </c>
      <c r="K169" s="204"/>
      <c r="L169" s="205"/>
      <c r="M169" s="203">
        <f>SUM(M170:M174)</f>
        <v>0</v>
      </c>
      <c r="N169" s="204"/>
      <c r="O169" s="205"/>
      <c r="P169" s="203">
        <f>SUM(P170:P174)</f>
        <v>0</v>
      </c>
      <c r="Q169" s="204"/>
      <c r="R169" s="205"/>
      <c r="S169" s="203">
        <f>SUM(S170:S174)</f>
        <v>0</v>
      </c>
      <c r="T169" s="204"/>
      <c r="U169" s="205"/>
      <c r="V169" s="199">
        <f t="shared" si="4"/>
        <v>0</v>
      </c>
      <c r="W169" s="200"/>
      <c r="X169" s="200"/>
    </row>
    <row r="170" spans="1:24">
      <c r="A170" s="210" t="s">
        <v>195</v>
      </c>
      <c r="B170" s="210" t="s">
        <v>38</v>
      </c>
      <c r="C170" s="210" t="s">
        <v>38</v>
      </c>
      <c r="D170" s="206">
        <f>SUMIF('PB5'!$J$3:$J$201,"D2.5.1-Staff Costs",'PB5'!$I$3:$I$201)</f>
        <v>0</v>
      </c>
      <c r="E170" s="207"/>
      <c r="F170" s="208"/>
      <c r="G170" s="206">
        <f>SUMIF('PB5'!$J$3:$J$201,"D2.5.1-Office and Administration",'PB5'!$I$3:$I$201)</f>
        <v>0</v>
      </c>
      <c r="H170" s="207"/>
      <c r="I170" s="208"/>
      <c r="J170" s="206">
        <f>SUMIF('PB5'!$J$3:$J$201,"D2.5.1-Travel and Accommodation",'PB5'!$I$3:$I$201)</f>
        <v>0</v>
      </c>
      <c r="K170" s="207"/>
      <c r="L170" s="208"/>
      <c r="M170" s="206">
        <f>SUMIF('PB5'!$J$3:$J$201,"D2.5.1-External Expertise and Services",'PB5'!$I$3:$I$201)</f>
        <v>0</v>
      </c>
      <c r="N170" s="207"/>
      <c r="O170" s="208"/>
      <c r="P170" s="206">
        <f>SUMIF('PB5'!$J$3:$J$201,"D2.5.1-Equipment",'PB5'!$I$3:$I$201)</f>
        <v>0</v>
      </c>
      <c r="Q170" s="207"/>
      <c r="R170" s="208"/>
      <c r="S170" s="206">
        <f>SUMIF('PB5'!$J$3:$J$201,"D2.5.1-Infrastructure and Works",'PB5'!$I$3:$I$201)</f>
        <v>0</v>
      </c>
      <c r="T170" s="207"/>
      <c r="U170" s="208"/>
      <c r="V170" s="201">
        <f t="shared" si="4"/>
        <v>0</v>
      </c>
      <c r="W170" s="202"/>
      <c r="X170" s="202"/>
    </row>
    <row r="171" spans="1:24">
      <c r="A171" s="210" t="s">
        <v>201</v>
      </c>
      <c r="B171" s="210" t="s">
        <v>39</v>
      </c>
      <c r="C171" s="210" t="s">
        <v>39</v>
      </c>
      <c r="D171" s="206">
        <f>SUMIF('PB5'!$J$3:$J$201,"D2.5.2-Staff Costs",'PB5'!$I$3:$I$201)</f>
        <v>0</v>
      </c>
      <c r="E171" s="207"/>
      <c r="F171" s="208"/>
      <c r="G171" s="206">
        <f>SUMIF('PB5'!$J$3:$J$201,"D2.5.2-Office and Administration",'PB5'!$I$3:$I$201)</f>
        <v>0</v>
      </c>
      <c r="H171" s="207"/>
      <c r="I171" s="208"/>
      <c r="J171" s="206">
        <f>SUMIF('PB5'!$J$3:$J$201,"D2.5.2-Travel and Accommodation",'PB5'!$I$3:$I$201)</f>
        <v>0</v>
      </c>
      <c r="K171" s="207"/>
      <c r="L171" s="208"/>
      <c r="M171" s="206">
        <f>SUMIF('PB5'!$J$3:$J$201,"D2.5.2-External Expertise and Services",'PB5'!$I$3:$I$201)</f>
        <v>0</v>
      </c>
      <c r="N171" s="207"/>
      <c r="O171" s="208"/>
      <c r="P171" s="206">
        <f>SUMIF('PB5'!$J$3:$J$201,"D2.5.2-Equipment",'PB5'!$I$3:$I$201)</f>
        <v>0</v>
      </c>
      <c r="Q171" s="207"/>
      <c r="R171" s="208"/>
      <c r="S171" s="206">
        <f>SUMIF('PB5'!$J$3:$J$201,"D2.5.2-Infrastructure and Works",'PB5'!$I$3:$I$201)</f>
        <v>0</v>
      </c>
      <c r="T171" s="207"/>
      <c r="U171" s="208"/>
      <c r="V171" s="201">
        <f t="shared" si="4"/>
        <v>0</v>
      </c>
      <c r="W171" s="202"/>
      <c r="X171" s="202"/>
    </row>
    <row r="172" spans="1:24">
      <c r="A172" s="210" t="s">
        <v>207</v>
      </c>
      <c r="B172" s="210" t="s">
        <v>40</v>
      </c>
      <c r="C172" s="210" t="s">
        <v>40</v>
      </c>
      <c r="D172" s="206">
        <f>SUMIF('PB5'!$J$3:$J$201,"D2.5.3-Staff Costs",'PB5'!$I$3:$I$201)</f>
        <v>0</v>
      </c>
      <c r="E172" s="207"/>
      <c r="F172" s="208"/>
      <c r="G172" s="206">
        <f>SUMIF('PB5'!$J$3:$J$201,"D2.5.3-Office and Administration",'PB5'!$I$3:$I$201)</f>
        <v>0</v>
      </c>
      <c r="H172" s="207"/>
      <c r="I172" s="208"/>
      <c r="J172" s="206">
        <f>SUMIF('PB5'!$J$3:$J$201,"D2.5.3-Travel and Accommodation",'PB5'!$I$3:$I$201)</f>
        <v>0</v>
      </c>
      <c r="K172" s="207"/>
      <c r="L172" s="208"/>
      <c r="M172" s="206">
        <f>SUMIF('PB5'!$J$3:$J$201,"D2.5.3-External Expertise and Services",'PB5'!$I$3:$I$201)</f>
        <v>0</v>
      </c>
      <c r="N172" s="207"/>
      <c r="O172" s="208"/>
      <c r="P172" s="206">
        <f>SUMIF('PB5'!$J$3:$J$201,"D2.5.3-Equipment",'PB5'!$I$3:$I$201)</f>
        <v>0</v>
      </c>
      <c r="Q172" s="207"/>
      <c r="R172" s="208"/>
      <c r="S172" s="206">
        <f>SUMIF('PB5'!$J$3:$J$201,"D2.5.3-Infrastructure and Works",'PB5'!$I$3:$I$201)</f>
        <v>0</v>
      </c>
      <c r="T172" s="207"/>
      <c r="U172" s="208"/>
      <c r="V172" s="201">
        <f t="shared" si="4"/>
        <v>0</v>
      </c>
      <c r="W172" s="202"/>
      <c r="X172" s="202"/>
    </row>
    <row r="173" spans="1:24">
      <c r="A173" s="210" t="s">
        <v>213</v>
      </c>
      <c r="B173" s="210" t="s">
        <v>41</v>
      </c>
      <c r="C173" s="210" t="s">
        <v>41</v>
      </c>
      <c r="D173" s="206">
        <f>SUMIF('PB5'!$J$3:$J$201,"D2.5.4-Staff Costs",'PB5'!$I$3:$I$201)</f>
        <v>0</v>
      </c>
      <c r="E173" s="207"/>
      <c r="F173" s="208"/>
      <c r="G173" s="206">
        <f>SUMIF('PB5'!$J$3:$J$201,"D2.5.4-Office and Administration",'PB5'!$I$3:$I$201)</f>
        <v>0</v>
      </c>
      <c r="H173" s="207"/>
      <c r="I173" s="208"/>
      <c r="J173" s="206">
        <f>SUMIF('PB5'!$J$3:$J$201,"D2.5.4-Travel and Accommodation",'PB5'!$I$3:$I$201)</f>
        <v>0</v>
      </c>
      <c r="K173" s="207"/>
      <c r="L173" s="208"/>
      <c r="M173" s="206">
        <f>SUMIF('PB5'!$J$3:$J$201,"D2.5.4-External Expertise and Services",'PB5'!$I$3:$I$201)</f>
        <v>0</v>
      </c>
      <c r="N173" s="207"/>
      <c r="O173" s="208"/>
      <c r="P173" s="206">
        <f>SUMIF('PB5'!$J$3:$J$201,"D2.5.4-Equipment",'PB5'!$I$3:$I$201)</f>
        <v>0</v>
      </c>
      <c r="Q173" s="207"/>
      <c r="R173" s="208"/>
      <c r="S173" s="206">
        <f>SUMIF('PB5'!$J$3:$J$201,"D2.5.4-Infrastructure and Works",'PB5'!$I$3:$I$201)</f>
        <v>0</v>
      </c>
      <c r="T173" s="207"/>
      <c r="U173" s="208"/>
      <c r="V173" s="201">
        <f t="shared" si="4"/>
        <v>0</v>
      </c>
      <c r="W173" s="202"/>
      <c r="X173" s="202"/>
    </row>
    <row r="174" spans="1:24">
      <c r="A174" s="210" t="s">
        <v>219</v>
      </c>
      <c r="B174" s="210" t="s">
        <v>42</v>
      </c>
      <c r="C174" s="210" t="s">
        <v>42</v>
      </c>
      <c r="D174" s="206">
        <f>SUMIF('PB5'!$J$3:$J$201,"D2.5.5-Staff Costs",'PB5'!$I$3:$I$201)</f>
        <v>0</v>
      </c>
      <c r="E174" s="207"/>
      <c r="F174" s="208"/>
      <c r="G174" s="206">
        <f>SUMIF('PB5'!$J$3:$J$201,"D2.5.5-Office and Administration",'PB5'!$I$3:$I$201)</f>
        <v>0</v>
      </c>
      <c r="H174" s="207"/>
      <c r="I174" s="208"/>
      <c r="J174" s="206">
        <f>SUMIF('PB5'!$J$3:$J$201,"D2.5.5-Travel and Accommodation",'PB5'!$I$3:$I$201)</f>
        <v>0</v>
      </c>
      <c r="K174" s="207"/>
      <c r="L174" s="208"/>
      <c r="M174" s="206">
        <f>SUMIF('PB5'!$J$3:$J$201,"D2.5.5-External Expertise and Services",'PB5'!$I$3:$I$201)</f>
        <v>0</v>
      </c>
      <c r="N174" s="207"/>
      <c r="O174" s="208"/>
      <c r="P174" s="206">
        <f>SUMIF('PB5'!$J$3:$J$201,"D2.5.5-Equipment",'PB5'!$I$3:$I$201)</f>
        <v>0</v>
      </c>
      <c r="Q174" s="207"/>
      <c r="R174" s="208"/>
      <c r="S174" s="206">
        <f>SUMIF('PB5'!$J$3:$J$201,"D2.5.5-Infrastructure and Works",'PB5'!$I$3:$I$201)</f>
        <v>0</v>
      </c>
      <c r="T174" s="207"/>
      <c r="U174" s="208"/>
      <c r="V174" s="201">
        <f t="shared" si="4"/>
        <v>0</v>
      </c>
      <c r="W174" s="202"/>
      <c r="X174" s="202"/>
    </row>
    <row r="175" spans="1:24">
      <c r="A175" s="213" t="s">
        <v>417</v>
      </c>
      <c r="B175" s="213"/>
      <c r="C175" s="213" t="s">
        <v>418</v>
      </c>
      <c r="D175" s="203">
        <f>SUM(D176:D180)</f>
        <v>0</v>
      </c>
      <c r="E175" s="204"/>
      <c r="F175" s="205"/>
      <c r="G175" s="203">
        <f>SUM(G176:G180)</f>
        <v>0</v>
      </c>
      <c r="H175" s="204"/>
      <c r="I175" s="205"/>
      <c r="J175" s="203">
        <f>SUM(J176:J180)</f>
        <v>0</v>
      </c>
      <c r="K175" s="204"/>
      <c r="L175" s="205"/>
      <c r="M175" s="203">
        <f>SUM(M176:M180)</f>
        <v>0</v>
      </c>
      <c r="N175" s="204"/>
      <c r="O175" s="205"/>
      <c r="P175" s="203">
        <f>SUM(P176:P180)</f>
        <v>0</v>
      </c>
      <c r="Q175" s="204"/>
      <c r="R175" s="205"/>
      <c r="S175" s="203">
        <f>SUM(S176:S180)</f>
        <v>0</v>
      </c>
      <c r="T175" s="204"/>
      <c r="U175" s="205"/>
      <c r="V175" s="199">
        <f t="shared" si="4"/>
        <v>0</v>
      </c>
      <c r="W175" s="200"/>
      <c r="X175" s="200"/>
    </row>
    <row r="176" spans="1:24">
      <c r="A176" s="210" t="s">
        <v>196</v>
      </c>
      <c r="B176" s="210" t="s">
        <v>43</v>
      </c>
      <c r="C176" s="210" t="s">
        <v>43</v>
      </c>
      <c r="D176" s="206">
        <f>SUMIF('PB5'!$J$3:$J$201,"D3.5.1-Staff Costs",'PB5'!$I$3:$I$201)</f>
        <v>0</v>
      </c>
      <c r="E176" s="207"/>
      <c r="F176" s="208"/>
      <c r="G176" s="206">
        <f>SUMIF('PB5'!$J$3:$J$201,"D3.5.1-Office and Administration",'PB5'!$I$3:$I$201)</f>
        <v>0</v>
      </c>
      <c r="H176" s="207"/>
      <c r="I176" s="208"/>
      <c r="J176" s="206">
        <f>SUMIF('PB5'!$J$3:$J$201,"D3.5.1-Travel and Accommodation",'PB5'!$I$3:$I$201)</f>
        <v>0</v>
      </c>
      <c r="K176" s="207"/>
      <c r="L176" s="208"/>
      <c r="M176" s="206">
        <f>SUMIF('PB5'!$J$3:$J$201,"D3.5.1-External Expertise and Services",'PB5'!$I$3:$I$201)</f>
        <v>0</v>
      </c>
      <c r="N176" s="207"/>
      <c r="O176" s="208"/>
      <c r="P176" s="206">
        <f>SUMIF('PB5'!$J$3:$J$201,"D3.5.1-Equipment",'PB5'!$I$3:$I$201)</f>
        <v>0</v>
      </c>
      <c r="Q176" s="207"/>
      <c r="R176" s="208"/>
      <c r="S176" s="206">
        <f>SUMIF('PB5'!$J$3:$J$201,"D3.5.1-Infrastructure and Works",'PB5'!$I$3:$I$201)</f>
        <v>0</v>
      </c>
      <c r="T176" s="207"/>
      <c r="U176" s="208"/>
      <c r="V176" s="201">
        <f t="shared" si="4"/>
        <v>0</v>
      </c>
      <c r="W176" s="202"/>
      <c r="X176" s="202"/>
    </row>
    <row r="177" spans="1:24">
      <c r="A177" s="210" t="s">
        <v>202</v>
      </c>
      <c r="B177" s="210" t="s">
        <v>44</v>
      </c>
      <c r="C177" s="210" t="s">
        <v>44</v>
      </c>
      <c r="D177" s="206">
        <f>SUMIF('PB5'!$J$3:$J$201,"D3.5.2-Staff Costs",'PB5'!$I$3:$I$201)</f>
        <v>0</v>
      </c>
      <c r="E177" s="207"/>
      <c r="F177" s="208"/>
      <c r="G177" s="206">
        <f>SUMIF('PB5'!$J$3:$J$201,"D3.5.2-Office and Administration",'PB5'!$I$3:$I$201)</f>
        <v>0</v>
      </c>
      <c r="H177" s="207"/>
      <c r="I177" s="208"/>
      <c r="J177" s="206">
        <f>SUMIF('PB5'!$J$3:$J$201,"D3.5.2-Travel and Accommodation",'PB5'!$I$3:$I$201)</f>
        <v>0</v>
      </c>
      <c r="K177" s="207"/>
      <c r="L177" s="208"/>
      <c r="M177" s="206">
        <f>SUMIF('PB5'!$J$3:$J$201,"D3.5.2-External Expertise and Services",'PB5'!$I$3:$I$201)</f>
        <v>0</v>
      </c>
      <c r="N177" s="207"/>
      <c r="O177" s="208"/>
      <c r="P177" s="206">
        <f>SUMIF('PB5'!$J$3:$J$201,"D3.5.2-Equipment",'PB5'!$I$3:$I$201)</f>
        <v>0</v>
      </c>
      <c r="Q177" s="207"/>
      <c r="R177" s="208"/>
      <c r="S177" s="206">
        <f>SUMIF('PB5'!$J$3:$J$201,"D3.5.2-Infrastructure and Works",'PB5'!$I$3:$I$201)</f>
        <v>0</v>
      </c>
      <c r="T177" s="207"/>
      <c r="U177" s="208"/>
      <c r="V177" s="201">
        <f t="shared" si="4"/>
        <v>0</v>
      </c>
      <c r="W177" s="202"/>
      <c r="X177" s="202"/>
    </row>
    <row r="178" spans="1:24">
      <c r="A178" s="210" t="s">
        <v>208</v>
      </c>
      <c r="B178" s="210" t="s">
        <v>45</v>
      </c>
      <c r="C178" s="210" t="s">
        <v>45</v>
      </c>
      <c r="D178" s="206">
        <f>SUMIF('PB5'!$J$3:$J$201,"D3.5.3-Staff Costs",'PB5'!$I$3:$I$201)</f>
        <v>0</v>
      </c>
      <c r="E178" s="207"/>
      <c r="F178" s="208"/>
      <c r="G178" s="206">
        <f>SUMIF('PB5'!$J$3:$J$201,"D3.5.3-Office and Administration",'PB5'!$I$3:$I$201)</f>
        <v>0</v>
      </c>
      <c r="H178" s="207"/>
      <c r="I178" s="208"/>
      <c r="J178" s="206">
        <f>SUMIF('PB5'!$J$3:$J$201,"D3.5.3-Travel and Accommodation",'PB5'!$I$3:$I$201)</f>
        <v>0</v>
      </c>
      <c r="K178" s="207"/>
      <c r="L178" s="208"/>
      <c r="M178" s="206">
        <f>SUMIF('PB5'!$J$3:$J$201,"D3.5.3-External Expertise and Services",'PB5'!$I$3:$I$201)</f>
        <v>0</v>
      </c>
      <c r="N178" s="207"/>
      <c r="O178" s="208"/>
      <c r="P178" s="206">
        <f>SUMIF('PB5'!$J$3:$J$201,"D3.5.3-Equipment",'PB5'!$I$3:$I$201)</f>
        <v>0</v>
      </c>
      <c r="Q178" s="207"/>
      <c r="R178" s="208"/>
      <c r="S178" s="206">
        <f>SUMIF('PB5'!$J$3:$J$201,"D3.5.3-Infrastructure and Works",'PB5'!$I$3:$I$201)</f>
        <v>0</v>
      </c>
      <c r="T178" s="207"/>
      <c r="U178" s="208"/>
      <c r="V178" s="201">
        <f t="shared" si="4"/>
        <v>0</v>
      </c>
      <c r="W178" s="202"/>
      <c r="X178" s="202"/>
    </row>
    <row r="179" spans="1:24">
      <c r="A179" s="210" t="s">
        <v>214</v>
      </c>
      <c r="B179" s="210" t="s">
        <v>46</v>
      </c>
      <c r="C179" s="210" t="s">
        <v>46</v>
      </c>
      <c r="D179" s="206">
        <f>SUMIF('PB5'!$J$3:$J$201,"D3.5.4-Staff Costs",'PB5'!$I$3:$I$201)</f>
        <v>0</v>
      </c>
      <c r="E179" s="207"/>
      <c r="F179" s="208"/>
      <c r="G179" s="206">
        <f>SUMIF('PB5'!$J$3:$J$201,"D3.5.4-Office and Administration",'PB5'!$I$3:$I$201)</f>
        <v>0</v>
      </c>
      <c r="H179" s="207"/>
      <c r="I179" s="208"/>
      <c r="J179" s="206">
        <f>SUMIF('PB5'!$J$3:$J$201,"D3.5.4-Travel and Accommodation",'PB5'!$I$3:$I$201)</f>
        <v>0</v>
      </c>
      <c r="K179" s="207"/>
      <c r="L179" s="208"/>
      <c r="M179" s="206">
        <f>SUMIF('PB5'!$J$3:$J$201,"D3.5.4-External Expertise and Services",'PB5'!$I$3:$I$201)</f>
        <v>0</v>
      </c>
      <c r="N179" s="207"/>
      <c r="O179" s="208"/>
      <c r="P179" s="206">
        <f>SUMIF('PB5'!$J$3:$J$201,"D3.5.4-Equipment",'PB5'!$I$3:$I$201)</f>
        <v>0</v>
      </c>
      <c r="Q179" s="207"/>
      <c r="R179" s="208"/>
      <c r="S179" s="206">
        <f>SUMIF('PB5'!$J$3:$J$201,"D3.5.4-Infrastructure and Works",'PB5'!$I$3:$I$201)</f>
        <v>0</v>
      </c>
      <c r="T179" s="207"/>
      <c r="U179" s="208"/>
      <c r="V179" s="201">
        <f t="shared" si="4"/>
        <v>0</v>
      </c>
      <c r="W179" s="202"/>
      <c r="X179" s="202"/>
    </row>
    <row r="180" spans="1:24">
      <c r="A180" s="210" t="s">
        <v>220</v>
      </c>
      <c r="B180" s="210" t="s">
        <v>47</v>
      </c>
      <c r="C180" s="210" t="s">
        <v>47</v>
      </c>
      <c r="D180" s="206">
        <f>SUMIF('PB5'!$J$3:$J$201,"D3.5.5-Staff Costs",'PB5'!$I$3:$I$201)</f>
        <v>0</v>
      </c>
      <c r="E180" s="207"/>
      <c r="F180" s="208"/>
      <c r="G180" s="206">
        <f>SUMIF('PB5'!$J$3:$J$201,"D3.5.5-Office and Administration",'PB5'!$I$3:$I$201)</f>
        <v>0</v>
      </c>
      <c r="H180" s="207"/>
      <c r="I180" s="208"/>
      <c r="J180" s="206">
        <f>SUMIF('PB5'!$J$3:$J$201,"D3.5.5-Travel and Accommodation",'PB5'!$I$3:$I$201)</f>
        <v>0</v>
      </c>
      <c r="K180" s="207"/>
      <c r="L180" s="208"/>
      <c r="M180" s="206">
        <f>SUMIF('PB5'!$J$3:$J$201,"D3.5.5-External Expertise and Services",'PB5'!$I$3:$I$201)</f>
        <v>0</v>
      </c>
      <c r="N180" s="207"/>
      <c r="O180" s="208"/>
      <c r="P180" s="206">
        <f>SUMIF('PB5'!$J$3:$J$201,"D3.5.5-Equipment",'PB5'!$I$3:$I$201)</f>
        <v>0</v>
      </c>
      <c r="Q180" s="207"/>
      <c r="R180" s="208"/>
      <c r="S180" s="206">
        <f>SUMIF('PB5'!$J$3:$J$201,"D3.5.5-Infrastructure and Works",'PB5'!$I$3:$I$201)</f>
        <v>0</v>
      </c>
      <c r="T180" s="207"/>
      <c r="U180" s="208"/>
      <c r="V180" s="201">
        <f t="shared" si="4"/>
        <v>0</v>
      </c>
      <c r="W180" s="202"/>
      <c r="X180" s="202"/>
    </row>
    <row r="181" spans="1:24">
      <c r="A181" s="213" t="s">
        <v>419</v>
      </c>
      <c r="B181" s="213"/>
      <c r="C181" s="213" t="s">
        <v>418</v>
      </c>
      <c r="D181" s="203">
        <f>SUM(D182:D186)</f>
        <v>0</v>
      </c>
      <c r="E181" s="204"/>
      <c r="F181" s="205"/>
      <c r="G181" s="203">
        <f>SUM(G182:G186)</f>
        <v>0</v>
      </c>
      <c r="H181" s="204"/>
      <c r="I181" s="205"/>
      <c r="J181" s="203">
        <f>SUM(J182:J186)</f>
        <v>0</v>
      </c>
      <c r="K181" s="204"/>
      <c r="L181" s="205"/>
      <c r="M181" s="203">
        <f>SUM(M182:M186)</f>
        <v>0</v>
      </c>
      <c r="N181" s="204"/>
      <c r="O181" s="205"/>
      <c r="P181" s="203">
        <f>SUM(P182:P186)</f>
        <v>0</v>
      </c>
      <c r="Q181" s="204"/>
      <c r="R181" s="205"/>
      <c r="S181" s="203">
        <f>SUM(S182:S186)</f>
        <v>0</v>
      </c>
      <c r="T181" s="204"/>
      <c r="U181" s="205"/>
      <c r="V181" s="199">
        <f t="shared" si="4"/>
        <v>0</v>
      </c>
      <c r="W181" s="200"/>
      <c r="X181" s="200"/>
    </row>
    <row r="182" spans="1:24">
      <c r="A182" s="210" t="s">
        <v>197</v>
      </c>
      <c r="B182" s="210" t="s">
        <v>48</v>
      </c>
      <c r="C182" s="210" t="s">
        <v>48</v>
      </c>
      <c r="D182" s="206">
        <f>SUMIF('PB5'!$J$3:$J$201,"D4.5.1-Staff Costs",'PB5'!$I$3:$I$201)</f>
        <v>0</v>
      </c>
      <c r="E182" s="207"/>
      <c r="F182" s="208"/>
      <c r="G182" s="206">
        <f>SUMIF('PB5'!$J$3:$J$201,"D4.5.1-Office and Administration",'PB5'!$I$3:$I$201)</f>
        <v>0</v>
      </c>
      <c r="H182" s="207"/>
      <c r="I182" s="208"/>
      <c r="J182" s="206">
        <f>SUMIF('PB5'!$J$3:$J$201,"D4.5.1-Travel and Accommodation",'PB5'!$I$3:$I$201)</f>
        <v>0</v>
      </c>
      <c r="K182" s="207"/>
      <c r="L182" s="208"/>
      <c r="M182" s="206">
        <f>SUMIF('PB5'!$J$3:$J$201,"D4.5.1-External Expertise and Services",'PB5'!$I$3:$I$201)</f>
        <v>0</v>
      </c>
      <c r="N182" s="207"/>
      <c r="O182" s="208"/>
      <c r="P182" s="206">
        <f>SUMIF('PB5'!$J$3:$J$201,"D4.5.1-Equipment",'PB5'!$I$3:$I$201)</f>
        <v>0</v>
      </c>
      <c r="Q182" s="207"/>
      <c r="R182" s="208"/>
      <c r="S182" s="206">
        <f>SUMIF('PB5'!$J$3:$J$201,"D4.5.1-Infrastructure and Works",'PB5'!$I$3:$I$201)</f>
        <v>0</v>
      </c>
      <c r="T182" s="207"/>
      <c r="U182" s="208"/>
      <c r="V182" s="201">
        <f t="shared" si="4"/>
        <v>0</v>
      </c>
      <c r="W182" s="202"/>
      <c r="X182" s="202"/>
    </row>
    <row r="183" spans="1:24">
      <c r="A183" s="210" t="s">
        <v>203</v>
      </c>
      <c r="B183" s="210" t="s">
        <v>49</v>
      </c>
      <c r="C183" s="210" t="s">
        <v>49</v>
      </c>
      <c r="D183" s="206">
        <f>SUMIF('PB5'!$J$3:$J$201,"D4.5.2-Staff Costs",'PB5'!$I$3:$I$201)</f>
        <v>0</v>
      </c>
      <c r="E183" s="207"/>
      <c r="F183" s="208"/>
      <c r="G183" s="206">
        <f>SUMIF('PB5'!$J$3:$J$201,"D4.5.2-Office and Administration",'PB5'!$I$3:$I$201)</f>
        <v>0</v>
      </c>
      <c r="H183" s="207"/>
      <c r="I183" s="208"/>
      <c r="J183" s="206">
        <f>SUMIF('PB5'!$J$3:$J$201,"D4.5.2-Travel and Accommodation",'PB5'!$I$3:$I$201)</f>
        <v>0</v>
      </c>
      <c r="K183" s="207"/>
      <c r="L183" s="208"/>
      <c r="M183" s="206">
        <f>SUMIF('PB5'!$J$3:$J$201,"D4.5.2-External Expertise and Services",'PB5'!$I$3:$I$201)</f>
        <v>0</v>
      </c>
      <c r="N183" s="207"/>
      <c r="O183" s="208"/>
      <c r="P183" s="206">
        <f>SUMIF('PB5'!$J$3:$J$201,"D4.5.2-Equipment",'PB5'!$I$3:$I$201)</f>
        <v>0</v>
      </c>
      <c r="Q183" s="207"/>
      <c r="R183" s="208"/>
      <c r="S183" s="206">
        <f>SUMIF('PB5'!$J$3:$J$201,"D4.5.2-Infrastructure and Works",'PB5'!$I$3:$I$201)</f>
        <v>0</v>
      </c>
      <c r="T183" s="207"/>
      <c r="U183" s="208"/>
      <c r="V183" s="201">
        <f t="shared" si="4"/>
        <v>0</v>
      </c>
      <c r="W183" s="202"/>
      <c r="X183" s="202"/>
    </row>
    <row r="184" spans="1:24">
      <c r="A184" s="210" t="s">
        <v>209</v>
      </c>
      <c r="B184" s="210" t="s">
        <v>50</v>
      </c>
      <c r="C184" s="210" t="s">
        <v>50</v>
      </c>
      <c r="D184" s="206">
        <f>SUMIF('PB5'!$J$3:$J$201,"D4.5.3-Staff Costs",'PB5'!$I$3:$I$201)</f>
        <v>0</v>
      </c>
      <c r="E184" s="207"/>
      <c r="F184" s="208"/>
      <c r="G184" s="206">
        <f>SUMIF('PB5'!$J$3:$J$201,"D4.5.3-Office and Administration",'PB5'!$I$3:$I$201)</f>
        <v>0</v>
      </c>
      <c r="H184" s="207"/>
      <c r="I184" s="208"/>
      <c r="J184" s="206">
        <f>SUMIF('PB5'!$J$3:$J$201,"D4.5.3-Travel and Accommodation",'PB5'!$I$3:$I$201)</f>
        <v>0</v>
      </c>
      <c r="K184" s="207"/>
      <c r="L184" s="208"/>
      <c r="M184" s="206">
        <f>SUMIF('PB5'!$J$3:$J$201,"D4.5.3-External Expertise and Services",'PB5'!$I$3:$I$201)</f>
        <v>0</v>
      </c>
      <c r="N184" s="207"/>
      <c r="O184" s="208"/>
      <c r="P184" s="206">
        <f>SUMIF('PB5'!$J$3:$J$201,"D4.5.3-Equipment",'PB5'!$I$3:$I$201)</f>
        <v>0</v>
      </c>
      <c r="Q184" s="207"/>
      <c r="R184" s="208"/>
      <c r="S184" s="206">
        <f>SUMIF('PB5'!$J$3:$J$201,"D4.5.3-Infrastructure and Works",'PB5'!$I$3:$I$201)</f>
        <v>0</v>
      </c>
      <c r="T184" s="207"/>
      <c r="U184" s="208"/>
      <c r="V184" s="201">
        <f t="shared" si="4"/>
        <v>0</v>
      </c>
      <c r="W184" s="202"/>
      <c r="X184" s="202"/>
    </row>
    <row r="185" spans="1:24">
      <c r="A185" s="210" t="s">
        <v>215</v>
      </c>
      <c r="B185" s="210" t="s">
        <v>51</v>
      </c>
      <c r="C185" s="210" t="s">
        <v>51</v>
      </c>
      <c r="D185" s="206">
        <f>SUMIF('PB5'!$J$3:$J$201,"D4.5.4-Staff Costs",'PB5'!$I$3:$I$201)</f>
        <v>0</v>
      </c>
      <c r="E185" s="207"/>
      <c r="F185" s="208"/>
      <c r="G185" s="206">
        <f>SUMIF('PB5'!$J$3:$J$201,"D4.5.4-Office and Administration",'PB5'!$I$3:$I$201)</f>
        <v>0</v>
      </c>
      <c r="H185" s="207"/>
      <c r="I185" s="208"/>
      <c r="J185" s="206">
        <f>SUMIF('PB5'!$J$3:$J$201,"D4.5.4-Travel and Accommodation",'PB5'!$I$3:$I$201)</f>
        <v>0</v>
      </c>
      <c r="K185" s="207"/>
      <c r="L185" s="208"/>
      <c r="M185" s="206">
        <f>SUMIF('PB5'!$J$3:$J$201,"D4.5.4-External Expertise and Services",'PB5'!$I$3:$I$201)</f>
        <v>0</v>
      </c>
      <c r="N185" s="207"/>
      <c r="O185" s="208"/>
      <c r="P185" s="206">
        <f>SUMIF('PB5'!$J$3:$J$201,"D4.5.4-Equipment",'PB5'!$I$3:$I$201)</f>
        <v>0</v>
      </c>
      <c r="Q185" s="207"/>
      <c r="R185" s="208"/>
      <c r="S185" s="206">
        <f>SUMIF('PB5'!$J$3:$J$201,"D4.5.4-Infrastructure and Works",'PB5'!$I$3:$I$201)</f>
        <v>0</v>
      </c>
      <c r="T185" s="207"/>
      <c r="U185" s="208"/>
      <c r="V185" s="201">
        <f t="shared" si="4"/>
        <v>0</v>
      </c>
      <c r="W185" s="202"/>
      <c r="X185" s="202"/>
    </row>
    <row r="186" spans="1:24">
      <c r="A186" s="210" t="s">
        <v>221</v>
      </c>
      <c r="B186" s="210" t="s">
        <v>52</v>
      </c>
      <c r="C186" s="210" t="s">
        <v>52</v>
      </c>
      <c r="D186" s="206">
        <f>SUMIF('PB5'!$J$3:$J$201,"D4.5.5-Staff Costs",'PB5'!$I$3:$I$201)</f>
        <v>0</v>
      </c>
      <c r="E186" s="207"/>
      <c r="F186" s="208"/>
      <c r="G186" s="206">
        <f>SUMIF('PB5'!$J$3:$J$201,"D4.5.5-Office and Administration",'PB5'!$I$3:$I$201)</f>
        <v>0</v>
      </c>
      <c r="H186" s="207"/>
      <c r="I186" s="208"/>
      <c r="J186" s="206">
        <f>SUMIF('PB5'!$J$3:$J$201,"D4.5.5-Travel and Accommodation",'PB5'!$I$3:$I$201)</f>
        <v>0</v>
      </c>
      <c r="K186" s="207"/>
      <c r="L186" s="208"/>
      <c r="M186" s="206">
        <f>SUMIF('PB5'!$J$3:$J$201,"D4.5.5-External Expertise and Services",'PB5'!$I$3:$I$201)</f>
        <v>0</v>
      </c>
      <c r="N186" s="207"/>
      <c r="O186" s="208"/>
      <c r="P186" s="206">
        <f>SUMIF('PB5'!$J$3:$J$201,"D4.5.5-Equipment",'PB5'!$I$3:$I$201)</f>
        <v>0</v>
      </c>
      <c r="Q186" s="207"/>
      <c r="R186" s="208"/>
      <c r="S186" s="206">
        <f>SUMIF('PB5'!$J$3:$J$201,"D4.5.5-Infrastructure and Works",'PB5'!$I$3:$I$201)</f>
        <v>0</v>
      </c>
      <c r="T186" s="207"/>
      <c r="U186" s="208"/>
      <c r="V186" s="201">
        <f t="shared" si="4"/>
        <v>0</v>
      </c>
      <c r="W186" s="202"/>
      <c r="X186" s="202"/>
    </row>
    <row r="187" spans="1:24">
      <c r="A187" s="213" t="s">
        <v>420</v>
      </c>
      <c r="B187" s="213"/>
      <c r="C187" s="213" t="s">
        <v>418</v>
      </c>
      <c r="D187" s="203">
        <f>SUM(D188:D192)</f>
        <v>0</v>
      </c>
      <c r="E187" s="204"/>
      <c r="F187" s="205"/>
      <c r="G187" s="203">
        <f>SUM(G188:G192)</f>
        <v>0</v>
      </c>
      <c r="H187" s="204"/>
      <c r="I187" s="205"/>
      <c r="J187" s="203">
        <f>SUM(J188:J192)</f>
        <v>0</v>
      </c>
      <c r="K187" s="204"/>
      <c r="L187" s="205"/>
      <c r="M187" s="203">
        <f>SUM(M188:M192)</f>
        <v>0</v>
      </c>
      <c r="N187" s="204"/>
      <c r="O187" s="205"/>
      <c r="P187" s="203">
        <f>SUM(P188:P192)</f>
        <v>0</v>
      </c>
      <c r="Q187" s="204"/>
      <c r="R187" s="205"/>
      <c r="S187" s="203">
        <f>SUM(S188:S192)</f>
        <v>0</v>
      </c>
      <c r="T187" s="204"/>
      <c r="U187" s="205"/>
      <c r="V187" s="199">
        <f t="shared" si="4"/>
        <v>0</v>
      </c>
      <c r="W187" s="200"/>
      <c r="X187" s="200"/>
    </row>
    <row r="188" spans="1:24">
      <c r="A188" s="210" t="s">
        <v>198</v>
      </c>
      <c r="B188" s="210" t="s">
        <v>53</v>
      </c>
      <c r="C188" s="210" t="s">
        <v>53</v>
      </c>
      <c r="D188" s="206">
        <f>SUMIF('PB5'!$J$3:$J$201,"D5.5.1-Staff Costs",'PB5'!$I$3:$I$201)</f>
        <v>0</v>
      </c>
      <c r="E188" s="207"/>
      <c r="F188" s="208"/>
      <c r="G188" s="206">
        <f>SUMIF('PB5'!$J$3:$J$201,"D5.5.1-Office and Administration",'PB5'!$I$3:$I$201)</f>
        <v>0</v>
      </c>
      <c r="H188" s="207"/>
      <c r="I188" s="208"/>
      <c r="J188" s="206">
        <f>SUMIF('PB5'!$J$3:$J$201,"D5.5.1-Travel and Accommodation",'PB5'!$I$3:$I$201)</f>
        <v>0</v>
      </c>
      <c r="K188" s="207"/>
      <c r="L188" s="208"/>
      <c r="M188" s="206">
        <f>SUMIF('PB5'!$J$3:$J$201,"D5.5.1-External Expertise and Services",'PB5'!$I$3:$I$201)</f>
        <v>0</v>
      </c>
      <c r="N188" s="207"/>
      <c r="O188" s="208"/>
      <c r="P188" s="206">
        <f>SUMIF('PB5'!$J$3:$J$201,"D5.5.1-Equipment",'PB5'!$I$3:$I$201)</f>
        <v>0</v>
      </c>
      <c r="Q188" s="207"/>
      <c r="R188" s="208"/>
      <c r="S188" s="206">
        <f>SUMIF('PB5'!$J$3:$J$201,"D5.5.1-Infrastructure and Works",'PB5'!$I$3:$I$201)</f>
        <v>0</v>
      </c>
      <c r="T188" s="207"/>
      <c r="U188" s="208"/>
      <c r="V188" s="201">
        <f t="shared" si="4"/>
        <v>0</v>
      </c>
      <c r="W188" s="202"/>
      <c r="X188" s="202"/>
    </row>
    <row r="189" spans="1:24">
      <c r="A189" s="210" t="s">
        <v>204</v>
      </c>
      <c r="B189" s="210" t="s">
        <v>54</v>
      </c>
      <c r="C189" s="210" t="s">
        <v>54</v>
      </c>
      <c r="D189" s="206">
        <f>SUMIF('PB5'!$J$3:$J$201,"D5.5.2-Staff Costs",'PB5'!$I$3:$I$201)</f>
        <v>0</v>
      </c>
      <c r="E189" s="207"/>
      <c r="F189" s="208"/>
      <c r="G189" s="206">
        <f>SUMIF('PB5'!$J$3:$J$201,"D5.5.2-Office and Administration",'PB5'!$I$3:$I$201)</f>
        <v>0</v>
      </c>
      <c r="H189" s="207"/>
      <c r="I189" s="208"/>
      <c r="J189" s="206">
        <f>SUMIF('PB5'!$J$3:$J$201,"D5.5.2-Travel and Accommodation",'PB5'!$I$3:$I$201)</f>
        <v>0</v>
      </c>
      <c r="K189" s="207"/>
      <c r="L189" s="208"/>
      <c r="M189" s="206">
        <f>SUMIF('PB5'!$J$3:$J$201,"D5.5.2-External Expertise and Services",'PB5'!$I$3:$I$201)</f>
        <v>0</v>
      </c>
      <c r="N189" s="207"/>
      <c r="O189" s="208"/>
      <c r="P189" s="206">
        <f>SUMIF('PB5'!$J$3:$J$201,"D5.5.2-Equipment",'PB5'!$I$3:$I$201)</f>
        <v>0</v>
      </c>
      <c r="Q189" s="207"/>
      <c r="R189" s="208"/>
      <c r="S189" s="206">
        <f>SUMIF('PB5'!$J$3:$J$201,"D5.5.2-Infrastructure and Works",'PB5'!$I$3:$I$201)</f>
        <v>0</v>
      </c>
      <c r="T189" s="207"/>
      <c r="U189" s="208"/>
      <c r="V189" s="201">
        <f t="shared" si="4"/>
        <v>0</v>
      </c>
      <c r="W189" s="202"/>
      <c r="X189" s="202"/>
    </row>
    <row r="190" spans="1:24">
      <c r="A190" s="210" t="s">
        <v>210</v>
      </c>
      <c r="B190" s="210" t="s">
        <v>55</v>
      </c>
      <c r="C190" s="210" t="s">
        <v>55</v>
      </c>
      <c r="D190" s="206">
        <f>SUMIF('PB5'!$J$3:$J$201,"D5.5.3-Staff Costs",'PB5'!$I$3:$I$201)</f>
        <v>0</v>
      </c>
      <c r="E190" s="207"/>
      <c r="F190" s="208"/>
      <c r="G190" s="206">
        <f>SUMIF('PB5'!$J$3:$J$201,"D5.5.3-Office and Administration",'PB5'!$I$3:$I$201)</f>
        <v>0</v>
      </c>
      <c r="H190" s="207"/>
      <c r="I190" s="208"/>
      <c r="J190" s="206">
        <f>SUMIF('PB5'!$J$3:$J$201,"D5.5.3-Travel and Accommodation",'PB5'!$I$3:$I$201)</f>
        <v>0</v>
      </c>
      <c r="K190" s="207"/>
      <c r="L190" s="208"/>
      <c r="M190" s="206">
        <f>SUMIF('PB5'!$J$3:$J$201,"D5.5.3-External Expertise and Services",'PB5'!$I$3:$I$201)</f>
        <v>0</v>
      </c>
      <c r="N190" s="207"/>
      <c r="O190" s="208"/>
      <c r="P190" s="206">
        <f>SUMIF('PB5'!$J$3:$J$201,"D5.5.3-Equipment",'PB5'!$I$3:$I$201)</f>
        <v>0</v>
      </c>
      <c r="Q190" s="207"/>
      <c r="R190" s="208"/>
      <c r="S190" s="206">
        <f>SUMIF('PB5'!$J$3:$J$201,"D5.5.3-Infrastructure and Works",'PB5'!$I$3:$I$201)</f>
        <v>0</v>
      </c>
      <c r="T190" s="207"/>
      <c r="U190" s="208"/>
      <c r="V190" s="201">
        <f t="shared" si="4"/>
        <v>0</v>
      </c>
      <c r="W190" s="202"/>
      <c r="X190" s="202"/>
    </row>
    <row r="191" spans="1:24">
      <c r="A191" s="210" t="s">
        <v>216</v>
      </c>
      <c r="B191" s="210" t="s">
        <v>56</v>
      </c>
      <c r="C191" s="210" t="s">
        <v>56</v>
      </c>
      <c r="D191" s="206">
        <f>SUMIF('PB5'!$J$3:$J$201,"D5.5.4-Staff Costs",'PB5'!$I$3:$I$201)</f>
        <v>0</v>
      </c>
      <c r="E191" s="207"/>
      <c r="F191" s="208"/>
      <c r="G191" s="206">
        <f>SUMIF('PB5'!$J$3:$J$201,"D5.5.4-Office and Administration",'PB5'!$I$3:$I$201)</f>
        <v>0</v>
      </c>
      <c r="H191" s="207"/>
      <c r="I191" s="208"/>
      <c r="J191" s="206">
        <f>SUMIF('PB5'!$J$3:$J$201,"D5.5.4-Travel and Accommodation",'PB5'!$I$3:$I$201)</f>
        <v>0</v>
      </c>
      <c r="K191" s="207"/>
      <c r="L191" s="208"/>
      <c r="M191" s="206">
        <f>SUMIF('PB5'!$J$3:$J$201,"D5.5.4-External Expertise and Services",'PB5'!$I$3:$I$201)</f>
        <v>0</v>
      </c>
      <c r="N191" s="207"/>
      <c r="O191" s="208"/>
      <c r="P191" s="206">
        <f>SUMIF('PB5'!$J$3:$J$201,"D5.5.4-Equipment",'PB5'!$I$3:$I$201)</f>
        <v>0</v>
      </c>
      <c r="Q191" s="207"/>
      <c r="R191" s="208"/>
      <c r="S191" s="206">
        <f>SUMIF('PB5'!$J$3:$J$201,"D5.5.4-Infrastructure and Works",'PB5'!$I$3:$I$201)</f>
        <v>0</v>
      </c>
      <c r="T191" s="207"/>
      <c r="U191" s="208"/>
      <c r="V191" s="201">
        <f t="shared" si="4"/>
        <v>0</v>
      </c>
      <c r="W191" s="202"/>
      <c r="X191" s="202"/>
    </row>
    <row r="192" spans="1:24">
      <c r="A192" s="210" t="s">
        <v>222</v>
      </c>
      <c r="B192" s="210" t="s">
        <v>57</v>
      </c>
      <c r="C192" s="210" t="s">
        <v>57</v>
      </c>
      <c r="D192" s="206">
        <f>SUMIF('PB5'!$J$3:$J$201,"D5.5.5-Staff Costs",'PB5'!$I$3:$I$201)</f>
        <v>0</v>
      </c>
      <c r="E192" s="207"/>
      <c r="F192" s="208"/>
      <c r="G192" s="206">
        <f>SUMIF('PB5'!$J$3:$J$201,"D5.5.5-Office and Administration",'PB5'!$I$3:$I$201)</f>
        <v>0</v>
      </c>
      <c r="H192" s="207"/>
      <c r="I192" s="208"/>
      <c r="J192" s="206">
        <f>SUMIF('PB5'!$J$3:$J$201,"D5.5.5-Travel and Accommodation",'PB5'!$I$3:$I$201)</f>
        <v>0</v>
      </c>
      <c r="K192" s="207"/>
      <c r="L192" s="208"/>
      <c r="M192" s="206">
        <f>SUMIF('PB5'!$J$3:$J$201,"D5.5.5-External Expertise and Services",'PB5'!$I$3:$I$201)</f>
        <v>0</v>
      </c>
      <c r="N192" s="207"/>
      <c r="O192" s="208"/>
      <c r="P192" s="206">
        <f>SUMIF('PB5'!$J$3:$J$201,"D5.5.5-Equipment",'PB5'!$I$3:$I$201)</f>
        <v>0</v>
      </c>
      <c r="Q192" s="207"/>
      <c r="R192" s="208"/>
      <c r="S192" s="206">
        <f>SUMIF('PB5'!$J$3:$J$201,"D5.5.5-Infrastructure and Works",'PB5'!$I$3:$I$201)</f>
        <v>0</v>
      </c>
      <c r="T192" s="207"/>
      <c r="U192" s="208"/>
      <c r="V192" s="201">
        <f t="shared" si="4"/>
        <v>0</v>
      </c>
      <c r="W192" s="202"/>
      <c r="X192" s="202"/>
    </row>
    <row r="193" spans="1:24">
      <c r="A193" s="213" t="s">
        <v>421</v>
      </c>
      <c r="B193" s="213"/>
      <c r="C193" s="213" t="s">
        <v>418</v>
      </c>
      <c r="D193" s="203">
        <f>SUM(D194:D198)</f>
        <v>0</v>
      </c>
      <c r="E193" s="204"/>
      <c r="F193" s="205"/>
      <c r="G193" s="203">
        <f>SUM(G194:G198)</f>
        <v>0</v>
      </c>
      <c r="H193" s="204"/>
      <c r="I193" s="205"/>
      <c r="J193" s="203">
        <f>SUM(J194:J198)</f>
        <v>0</v>
      </c>
      <c r="K193" s="204"/>
      <c r="L193" s="205"/>
      <c r="M193" s="203">
        <f>SUM(M194:M198)</f>
        <v>0</v>
      </c>
      <c r="N193" s="204"/>
      <c r="O193" s="205"/>
      <c r="P193" s="203">
        <f>SUM(P194:P198)</f>
        <v>0</v>
      </c>
      <c r="Q193" s="204"/>
      <c r="R193" s="205"/>
      <c r="S193" s="203">
        <f>SUM(S194:S198)</f>
        <v>0</v>
      </c>
      <c r="T193" s="204"/>
      <c r="U193" s="205"/>
      <c r="V193" s="199">
        <f t="shared" si="4"/>
        <v>0</v>
      </c>
      <c r="W193" s="200"/>
      <c r="X193" s="200"/>
    </row>
    <row r="194" spans="1:24">
      <c r="A194" s="210" t="s">
        <v>199</v>
      </c>
      <c r="B194" s="210" t="s">
        <v>58</v>
      </c>
      <c r="C194" s="210" t="s">
        <v>58</v>
      </c>
      <c r="D194" s="206">
        <f>SUMIF('PB5'!$J$3:$J$201,"D6.5.1-Staff Costs",'PB5'!$I$3:$I$201)</f>
        <v>0</v>
      </c>
      <c r="E194" s="207"/>
      <c r="F194" s="208"/>
      <c r="G194" s="206">
        <f>SUMIF('PB5'!$J$3:$J$201,"D6.5.1-Office and Administration",'PB5'!$I$3:$I$201)</f>
        <v>0</v>
      </c>
      <c r="H194" s="207"/>
      <c r="I194" s="208"/>
      <c r="J194" s="206">
        <f>SUMIF('PB5'!$J$3:$J$201,"D6.5.1-Travel and Accommodation",'PB5'!$I$3:$I$201)</f>
        <v>0</v>
      </c>
      <c r="K194" s="207"/>
      <c r="L194" s="208"/>
      <c r="M194" s="206">
        <f>SUMIF('PB5'!$J$3:$J$201,"D6.5.1-External Expertise and Services",'PB5'!$I$3:$I$201)</f>
        <v>0</v>
      </c>
      <c r="N194" s="207"/>
      <c r="O194" s="208"/>
      <c r="P194" s="206">
        <f>SUMIF('PB5'!$J$3:$J$201,"D6.5.1-Equipment",'PB5'!$I$3:$I$201)</f>
        <v>0</v>
      </c>
      <c r="Q194" s="207"/>
      <c r="R194" s="208"/>
      <c r="S194" s="206">
        <f>SUMIF('PB5'!$J$3:$J$201,"D6.5.1-Infrastructure and Works",'PB5'!$I$3:$I$201)</f>
        <v>0</v>
      </c>
      <c r="T194" s="207"/>
      <c r="U194" s="208"/>
      <c r="V194" s="201">
        <f t="shared" si="4"/>
        <v>0</v>
      </c>
      <c r="W194" s="202"/>
      <c r="X194" s="202"/>
    </row>
    <row r="195" spans="1:24">
      <c r="A195" s="210" t="s">
        <v>205</v>
      </c>
      <c r="B195" s="210" t="s">
        <v>59</v>
      </c>
      <c r="C195" s="210" t="s">
        <v>59</v>
      </c>
      <c r="D195" s="206">
        <f>SUMIF('PB5'!$J$3:$J$201,"D6.5.2-Staff Costs",'PB5'!$I$3:$I$201)</f>
        <v>0</v>
      </c>
      <c r="E195" s="207"/>
      <c r="F195" s="208"/>
      <c r="G195" s="206">
        <f>SUMIF('PB5'!$J$3:$J$201,"D6.5.2-Office and Administration",'PB5'!$I$3:$I$201)</f>
        <v>0</v>
      </c>
      <c r="H195" s="207"/>
      <c r="I195" s="208"/>
      <c r="J195" s="206">
        <f>SUMIF('PB5'!$J$3:$J$201,"D6.5.2-Travel and Accommodation",'PB5'!$I$3:$I$201)</f>
        <v>0</v>
      </c>
      <c r="K195" s="207"/>
      <c r="L195" s="208"/>
      <c r="M195" s="206">
        <f>SUMIF('PB5'!$J$3:$J$201,"D6.5.2-External Expertise and Services",'PB5'!$I$3:$I$201)</f>
        <v>0</v>
      </c>
      <c r="N195" s="207"/>
      <c r="O195" s="208"/>
      <c r="P195" s="206">
        <f>SUMIF('PB5'!$J$3:$J$201,"D6.5.2-Equipment",'PB5'!$I$3:$I$201)</f>
        <v>0</v>
      </c>
      <c r="Q195" s="207"/>
      <c r="R195" s="208"/>
      <c r="S195" s="206">
        <f>SUMIF('PB5'!$J$3:$J$201,"D6.5.2-Infrastructure and Works",'PB5'!$I$3:$I$201)</f>
        <v>0</v>
      </c>
      <c r="T195" s="207"/>
      <c r="U195" s="208"/>
      <c r="V195" s="201">
        <f t="shared" si="4"/>
        <v>0</v>
      </c>
      <c r="W195" s="202"/>
      <c r="X195" s="202"/>
    </row>
    <row r="196" spans="1:24">
      <c r="A196" s="210" t="s">
        <v>211</v>
      </c>
      <c r="B196" s="210" t="s">
        <v>60</v>
      </c>
      <c r="C196" s="210" t="s">
        <v>60</v>
      </c>
      <c r="D196" s="206">
        <f>SUMIF('PB5'!$J$3:$J$201,"D6.5.3-Staff Costs",'PB5'!$I$3:$I$201)</f>
        <v>0</v>
      </c>
      <c r="E196" s="207"/>
      <c r="F196" s="208"/>
      <c r="G196" s="206">
        <f>SUMIF('PB5'!$J$3:$J$201,"D6.5.3-Office and Administration",'PB5'!$I$3:$I$201)</f>
        <v>0</v>
      </c>
      <c r="H196" s="207"/>
      <c r="I196" s="208"/>
      <c r="J196" s="206">
        <f>SUMIF('PB5'!$J$3:$J$201,"D6.5.3-Travel and Accommodation",'PB5'!$I$3:$I$201)</f>
        <v>0</v>
      </c>
      <c r="K196" s="207"/>
      <c r="L196" s="208"/>
      <c r="M196" s="206">
        <f>SUMIF('PB5'!$J$3:$J$201,"D6.5.3-External Expertise and Services",'PB5'!$I$3:$I$201)</f>
        <v>0</v>
      </c>
      <c r="N196" s="207"/>
      <c r="O196" s="208"/>
      <c r="P196" s="206">
        <f>SUMIF('PB5'!$J$3:$J$201,"D6.5.3-Equipment",'PB5'!$I$3:$I$201)</f>
        <v>0</v>
      </c>
      <c r="Q196" s="207"/>
      <c r="R196" s="208"/>
      <c r="S196" s="206">
        <f>SUMIF('PB5'!$J$3:$J$201,"D6.5.3-Infrastructure and Works",'PB5'!$I$3:$I$201)</f>
        <v>0</v>
      </c>
      <c r="T196" s="207"/>
      <c r="U196" s="208"/>
      <c r="V196" s="201">
        <f t="shared" si="4"/>
        <v>0</v>
      </c>
      <c r="W196" s="202"/>
      <c r="X196" s="202"/>
    </row>
    <row r="197" spans="1:24">
      <c r="A197" s="210" t="s">
        <v>217</v>
      </c>
      <c r="B197" s="210" t="s">
        <v>61</v>
      </c>
      <c r="C197" s="210" t="s">
        <v>61</v>
      </c>
      <c r="D197" s="206">
        <f>SUMIF('PB5'!$J$3:$J$201,"D6.5.4-Staff Costs",'PB5'!$I$3:$I$201)</f>
        <v>0</v>
      </c>
      <c r="E197" s="207"/>
      <c r="F197" s="208"/>
      <c r="G197" s="206">
        <f>SUMIF('PB5'!$J$3:$J$201,"D6.5.4-Office and Administration",'PB5'!$I$3:$I$201)</f>
        <v>0</v>
      </c>
      <c r="H197" s="207"/>
      <c r="I197" s="208"/>
      <c r="J197" s="206">
        <f>SUMIF('PB5'!$J$3:$J$201,"D6.5.4-Travel and Accommodation",'PB5'!$I$3:$I$201)</f>
        <v>0</v>
      </c>
      <c r="K197" s="207"/>
      <c r="L197" s="208"/>
      <c r="M197" s="206">
        <f>SUMIF('PB5'!$J$3:$J$201,"D6.5.4-External Expertise and Services",'PB5'!$I$3:$I$201)</f>
        <v>0</v>
      </c>
      <c r="N197" s="207"/>
      <c r="O197" s="208"/>
      <c r="P197" s="206">
        <f>SUMIF('PB5'!$J$3:$J$201,"D6.5.4-Equipment",'PB5'!$I$3:$I$201)</f>
        <v>0</v>
      </c>
      <c r="Q197" s="207"/>
      <c r="R197" s="208"/>
      <c r="S197" s="206">
        <f>SUMIF('PB5'!$J$3:$J$201,"D6.5.4-Infrastructure and Works",'PB5'!$I$3:$I$201)</f>
        <v>0</v>
      </c>
      <c r="T197" s="207"/>
      <c r="U197" s="208"/>
      <c r="V197" s="201">
        <f t="shared" si="4"/>
        <v>0</v>
      </c>
      <c r="W197" s="202"/>
      <c r="X197" s="202"/>
    </row>
    <row r="198" spans="1:24">
      <c r="A198" s="210" t="s">
        <v>223</v>
      </c>
      <c r="B198" s="210"/>
      <c r="C198" s="210"/>
      <c r="D198" s="206">
        <f>SUMIF('PB5'!$J$3:$J$201,"D6.5.5-Staff Costs",'PB5'!$I$3:$I$201)</f>
        <v>0</v>
      </c>
      <c r="E198" s="207"/>
      <c r="F198" s="208"/>
      <c r="G198" s="206">
        <f>SUMIF('PB5'!$J$3:$J$201,"D6.5.5-Office and Administration",'PB5'!$I$3:$I$201)</f>
        <v>0</v>
      </c>
      <c r="H198" s="207"/>
      <c r="I198" s="208"/>
      <c r="J198" s="206">
        <f>SUMIF('PB5'!$J$3:$J$201,"D6.5.5-Travel and Accommodation",'PB5'!$I$3:$I$201)</f>
        <v>0</v>
      </c>
      <c r="K198" s="207"/>
      <c r="L198" s="208"/>
      <c r="M198" s="206">
        <f>SUMIF('PB5'!$J$3:$J$201,"D6.5.5-External Expertise and Services",'PB5'!$I$3:$I$201)</f>
        <v>0</v>
      </c>
      <c r="N198" s="207"/>
      <c r="O198" s="208"/>
      <c r="P198" s="206">
        <f>SUMIF('PB5'!$J$3:$J$201,"D6.5.5-Equipment",'PB5'!$I$3:$I$201)</f>
        <v>0</v>
      </c>
      <c r="Q198" s="207"/>
      <c r="R198" s="208"/>
      <c r="S198" s="206">
        <f>SUMIF('PB5'!$J$3:$J$201,"D6.5.5-Infrastructure and Works",'PB5'!$I$3:$I$201)</f>
        <v>0</v>
      </c>
      <c r="T198" s="207"/>
      <c r="U198" s="208"/>
      <c r="V198" s="201">
        <f t="shared" si="4"/>
        <v>0</v>
      </c>
      <c r="W198" s="202"/>
      <c r="X198" s="202"/>
    </row>
    <row r="199" spans="1:24">
      <c r="A199" s="221" t="s">
        <v>423</v>
      </c>
      <c r="B199" s="221"/>
      <c r="C199" s="221"/>
      <c r="D199" s="224">
        <f>D193+D187+D181+D175+D169+D163</f>
        <v>0</v>
      </c>
      <c r="E199" s="225"/>
      <c r="F199" s="226"/>
      <c r="G199" s="224">
        <f>G193+G187+G181+G175+G169+G163</f>
        <v>0</v>
      </c>
      <c r="H199" s="225"/>
      <c r="I199" s="226"/>
      <c r="J199" s="224">
        <f>J193+J187+J181+J175+J169+J163</f>
        <v>0</v>
      </c>
      <c r="K199" s="225"/>
      <c r="L199" s="226"/>
      <c r="M199" s="224">
        <f>M193+M187+M181+M175+M169+M163</f>
        <v>0</v>
      </c>
      <c r="N199" s="225"/>
      <c r="O199" s="226"/>
      <c r="P199" s="224">
        <f>P193+P187+P181+P175+P169+P163</f>
        <v>0</v>
      </c>
      <c r="Q199" s="225"/>
      <c r="R199" s="226"/>
      <c r="S199" s="224">
        <f>S193+S187+S181+S175+S169+S163</f>
        <v>0</v>
      </c>
      <c r="T199" s="225"/>
      <c r="U199" s="226"/>
      <c r="V199" s="222">
        <f t="shared" si="4"/>
        <v>0</v>
      </c>
      <c r="W199" s="223"/>
      <c r="X199" s="201"/>
    </row>
    <row r="200" spans="1:24"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8"/>
      <c r="W200" s="48"/>
      <c r="X200" s="48"/>
    </row>
    <row r="201" spans="1:24" ht="15" customHeight="1">
      <c r="A201" s="211" t="s">
        <v>500</v>
      </c>
      <c r="B201" s="211"/>
      <c r="C201" s="211"/>
      <c r="D201" s="214" t="s">
        <v>23</v>
      </c>
      <c r="E201" s="215"/>
      <c r="F201" s="216"/>
      <c r="G201" s="214" t="s">
        <v>24</v>
      </c>
      <c r="H201" s="215"/>
      <c r="I201" s="216"/>
      <c r="J201" s="214" t="s">
        <v>474</v>
      </c>
      <c r="K201" s="215"/>
      <c r="L201" s="216"/>
      <c r="M201" s="214" t="s">
        <v>25</v>
      </c>
      <c r="N201" s="215"/>
      <c r="O201" s="216"/>
      <c r="P201" s="214" t="s">
        <v>26</v>
      </c>
      <c r="Q201" s="215"/>
      <c r="R201" s="216"/>
      <c r="S201" s="214" t="s">
        <v>406</v>
      </c>
      <c r="T201" s="215"/>
      <c r="U201" s="216"/>
      <c r="V201" s="220" t="s">
        <v>423</v>
      </c>
      <c r="W201" s="220"/>
      <c r="X201" s="220"/>
    </row>
    <row r="202" spans="1:24" ht="48.75" customHeight="1">
      <c r="A202" s="212">
        <f>'Cover page'!C27</f>
        <v>0</v>
      </c>
      <c r="B202" s="212"/>
      <c r="C202" s="212"/>
      <c r="D202" s="217"/>
      <c r="E202" s="218"/>
      <c r="F202" s="219"/>
      <c r="G202" s="217"/>
      <c r="H202" s="218"/>
      <c r="I202" s="219"/>
      <c r="J202" s="217"/>
      <c r="K202" s="218"/>
      <c r="L202" s="219"/>
      <c r="M202" s="217"/>
      <c r="N202" s="218"/>
      <c r="O202" s="219"/>
      <c r="P202" s="217"/>
      <c r="Q202" s="218"/>
      <c r="R202" s="219"/>
      <c r="S202" s="217"/>
      <c r="T202" s="218"/>
      <c r="U202" s="219"/>
      <c r="V202" s="220"/>
      <c r="W202" s="220"/>
      <c r="X202" s="220"/>
    </row>
    <row r="203" spans="1:24">
      <c r="A203" s="213" t="s">
        <v>415</v>
      </c>
      <c r="B203" s="213"/>
      <c r="C203" s="213"/>
      <c r="D203" s="203">
        <f>SUM(D204:D208)</f>
        <v>0</v>
      </c>
      <c r="E203" s="204"/>
      <c r="F203" s="205"/>
      <c r="G203" s="203">
        <f>SUM(G204:G208)</f>
        <v>0</v>
      </c>
      <c r="H203" s="204"/>
      <c r="I203" s="205"/>
      <c r="J203" s="203">
        <f>SUM(J204:J208)</f>
        <v>0</v>
      </c>
      <c r="K203" s="204"/>
      <c r="L203" s="205"/>
      <c r="M203" s="203">
        <f>SUM(M204:M208)</f>
        <v>0</v>
      </c>
      <c r="N203" s="204"/>
      <c r="O203" s="205"/>
      <c r="P203" s="203">
        <f>SUM(P204:P208)</f>
        <v>0</v>
      </c>
      <c r="Q203" s="204"/>
      <c r="R203" s="205"/>
      <c r="S203" s="203">
        <f>SUM(S204:S208)</f>
        <v>0</v>
      </c>
      <c r="T203" s="204"/>
      <c r="U203" s="205"/>
      <c r="V203" s="199">
        <f t="shared" ref="V203:V239" si="5">SUM(D203:S203)</f>
        <v>0</v>
      </c>
      <c r="W203" s="200"/>
      <c r="X203" s="200"/>
    </row>
    <row r="204" spans="1:24">
      <c r="A204" s="210" t="s">
        <v>230</v>
      </c>
      <c r="B204" s="210"/>
      <c r="C204" s="210"/>
      <c r="D204" s="206">
        <f>SUMIF('PB6'!$J$3:$J$201,"D1.6.1-Staff Costs",'PB6'!$I$3:$I$201)</f>
        <v>0</v>
      </c>
      <c r="E204" s="207"/>
      <c r="F204" s="208"/>
      <c r="G204" s="206">
        <f>SUMIF('PB6'!$J$3:$J$201,"D1.6.1-Office and Administration",'PB6'!$I$3:$I$201)</f>
        <v>0</v>
      </c>
      <c r="H204" s="207"/>
      <c r="I204" s="208"/>
      <c r="J204" s="206">
        <f>SUMIF('PB6'!$J$3:$J$201,"D1.6.1-Travel and Accommodation",'PB6'!$I$3:$I$201)</f>
        <v>0</v>
      </c>
      <c r="K204" s="207"/>
      <c r="L204" s="208"/>
      <c r="M204" s="206">
        <f>SUMIF('PB6'!$J$3:$J$201,"D1.6.1-External Expertise and Services",'PB6'!$I$3:$I$201)</f>
        <v>0</v>
      </c>
      <c r="N204" s="207"/>
      <c r="O204" s="208"/>
      <c r="P204" s="206">
        <f>SUMIF('PB6'!$J$3:$J$201,"D1.6.1-Equipment",'PB6'!$I$3:$I$201)</f>
        <v>0</v>
      </c>
      <c r="Q204" s="207"/>
      <c r="R204" s="208"/>
      <c r="S204" s="206">
        <f>SUMIF('PB6'!$J$3:$J$201,"D1.6.1-Infrastructure and Works",'PB6'!$I$3:$I$201)</f>
        <v>0</v>
      </c>
      <c r="T204" s="207"/>
      <c r="U204" s="208"/>
      <c r="V204" s="201">
        <f t="shared" si="5"/>
        <v>0</v>
      </c>
      <c r="W204" s="202"/>
      <c r="X204" s="202"/>
    </row>
    <row r="205" spans="1:24">
      <c r="A205" s="210" t="s">
        <v>236</v>
      </c>
      <c r="B205" s="210"/>
      <c r="C205" s="210"/>
      <c r="D205" s="206">
        <f>SUMIF('PB6'!$J$3:$J$201,"D1.6.2-Staff Costs",'PB6'!$I$3:$I$201)</f>
        <v>0</v>
      </c>
      <c r="E205" s="207"/>
      <c r="F205" s="208"/>
      <c r="G205" s="206">
        <f>SUMIF('PB6'!$J$3:$J$201,"D1.6.2-Office and Administration",'PB6'!$I$3:$I$201)</f>
        <v>0</v>
      </c>
      <c r="H205" s="207"/>
      <c r="I205" s="208"/>
      <c r="J205" s="206">
        <f>SUMIF('PB6'!$J$3:$J$201,"D1.6.2-Travel and Accommodation",'PB6'!$I$3:$I$201)</f>
        <v>0</v>
      </c>
      <c r="K205" s="207"/>
      <c r="L205" s="208"/>
      <c r="M205" s="206">
        <f>SUMIF('PB6'!$J$3:$J$201,"D1.6.2-External Expertise and Services",'PB6'!$I$3:$I$201)</f>
        <v>0</v>
      </c>
      <c r="N205" s="207"/>
      <c r="O205" s="208"/>
      <c r="P205" s="206">
        <f>SUMIF('PB6'!$J$3:$J$201,"D1.6.2-Equipment",'PB6'!$I$3:$I$201)</f>
        <v>0</v>
      </c>
      <c r="Q205" s="207"/>
      <c r="R205" s="208"/>
      <c r="S205" s="206">
        <f>SUMIF('PB6'!$J$3:$J$201,"D1.6.2-Infrastructure and Works",'PB6'!$I$3:$I$201)</f>
        <v>0</v>
      </c>
      <c r="T205" s="207"/>
      <c r="U205" s="208"/>
      <c r="V205" s="201">
        <f t="shared" si="5"/>
        <v>0</v>
      </c>
      <c r="W205" s="202"/>
      <c r="X205" s="202"/>
    </row>
    <row r="206" spans="1:24">
      <c r="A206" s="210" t="s">
        <v>242</v>
      </c>
      <c r="B206" s="210" t="s">
        <v>35</v>
      </c>
      <c r="C206" s="210" t="s">
        <v>35</v>
      </c>
      <c r="D206" s="206">
        <f>SUMIF('PB6'!$J$3:$J$201,"D1.6.3-Staff Costs",'PB6'!$I$3:$I$201)</f>
        <v>0</v>
      </c>
      <c r="E206" s="207"/>
      <c r="F206" s="208"/>
      <c r="G206" s="206">
        <f>SUMIF('PB6'!$J$3:$J$201,"D1.6.3-Office and Administration",'PB6'!$I$3:$I$201)</f>
        <v>0</v>
      </c>
      <c r="H206" s="207"/>
      <c r="I206" s="208"/>
      <c r="J206" s="206">
        <f>SUMIF('PB6'!$J$3:$J$201,"D1.6.3-Travel and Accommodation",'PB6'!$I$3:$I$201)</f>
        <v>0</v>
      </c>
      <c r="K206" s="207"/>
      <c r="L206" s="208"/>
      <c r="M206" s="206">
        <f>SUMIF('PB6'!$J$3:$J$201,"D1.6.3-External Expertise and Services",'PB6'!$I$3:$I$201)</f>
        <v>0</v>
      </c>
      <c r="N206" s="207"/>
      <c r="O206" s="208"/>
      <c r="P206" s="206">
        <f>SUMIF('PB6'!$J$3:$J$201,"D1.6.3-Equipment",'PB6'!$I$3:$I$201)</f>
        <v>0</v>
      </c>
      <c r="Q206" s="207"/>
      <c r="R206" s="208"/>
      <c r="S206" s="206">
        <f>SUMIF('PB6'!$J$3:$J$201,"D1.6.3-Infrastructure and Works",'PB6'!$I$3:$I$201)</f>
        <v>0</v>
      </c>
      <c r="T206" s="207"/>
      <c r="U206" s="208"/>
      <c r="V206" s="201">
        <f t="shared" si="5"/>
        <v>0</v>
      </c>
      <c r="W206" s="202"/>
      <c r="X206" s="202"/>
    </row>
    <row r="207" spans="1:24">
      <c r="A207" s="210" t="s">
        <v>248</v>
      </c>
      <c r="B207" s="210" t="s">
        <v>36</v>
      </c>
      <c r="C207" s="210" t="s">
        <v>36</v>
      </c>
      <c r="D207" s="206">
        <f>SUMIF('PB6'!$J$3:$J$201,"D1.6.4-Staff Costs",'PB6'!$I$3:$I$201)</f>
        <v>0</v>
      </c>
      <c r="E207" s="207"/>
      <c r="F207" s="208"/>
      <c r="G207" s="206">
        <f>SUMIF('PB6'!$J$3:$J$201,"D1.6.4-Office and Administration",'PB6'!$I$3:$I$201)</f>
        <v>0</v>
      </c>
      <c r="H207" s="207"/>
      <c r="I207" s="208"/>
      <c r="J207" s="206">
        <f>SUMIF('PB6'!$J$3:$J$201,"D1.6.4-Travel and Accommodation",'PB6'!$I$3:$I$201)</f>
        <v>0</v>
      </c>
      <c r="K207" s="207"/>
      <c r="L207" s="208"/>
      <c r="M207" s="206">
        <f>SUMIF('PB6'!$J$3:$J$201,"D1.6.4-External Expertise and Services",'PB6'!$I$3:$I$201)</f>
        <v>0</v>
      </c>
      <c r="N207" s="207"/>
      <c r="O207" s="208"/>
      <c r="P207" s="206">
        <f>SUMIF('PB6'!$J$3:$J$201,"D1.6.4-Equipment",'PB6'!$I$3:$I$201)</f>
        <v>0</v>
      </c>
      <c r="Q207" s="207"/>
      <c r="R207" s="208"/>
      <c r="S207" s="206">
        <f>SUMIF('PB6'!$J$3:$J$201,"D1.6.4-Infrastructure and Works",'PB6'!$I$3:$I$201)</f>
        <v>0</v>
      </c>
      <c r="T207" s="207"/>
      <c r="U207" s="208"/>
      <c r="V207" s="201">
        <f t="shared" si="5"/>
        <v>0</v>
      </c>
      <c r="W207" s="202"/>
      <c r="X207" s="202"/>
    </row>
    <row r="208" spans="1:24">
      <c r="A208" s="210" t="s">
        <v>254</v>
      </c>
      <c r="B208" s="210" t="s">
        <v>37</v>
      </c>
      <c r="C208" s="210" t="s">
        <v>37</v>
      </c>
      <c r="D208" s="206">
        <f>SUMIF('PB6'!$J$3:$J$201,"D1.6.5-Staff Costs",'PB6'!$I$3:$I$201)</f>
        <v>0</v>
      </c>
      <c r="E208" s="207"/>
      <c r="F208" s="208"/>
      <c r="G208" s="206">
        <f>SUMIF('PB6'!$J$3:$J$201,"D1.6.5-Office and Administration",'PB6'!$I$3:$I$201)</f>
        <v>0</v>
      </c>
      <c r="H208" s="207"/>
      <c r="I208" s="208"/>
      <c r="J208" s="206">
        <f>SUMIF('PB6'!$J$3:$J$201,"D1.6.5-Travel and Accommodation",'PB6'!$I$3:$I$201)</f>
        <v>0</v>
      </c>
      <c r="K208" s="207"/>
      <c r="L208" s="208"/>
      <c r="M208" s="206">
        <f>SUMIF('PB6'!$J$3:$J$201,"D1.6.5-External Expertise and Services",'PB6'!$I$3:$I$201)</f>
        <v>0</v>
      </c>
      <c r="N208" s="207"/>
      <c r="O208" s="208"/>
      <c r="P208" s="206">
        <f>SUMIF('PB6'!$J$3:$J$201,"D1.6.5-Equipment",'PB6'!$I$3:$I$201)</f>
        <v>0</v>
      </c>
      <c r="Q208" s="207"/>
      <c r="R208" s="208"/>
      <c r="S208" s="206">
        <f>SUMIF('PB6'!$J$3:$J$201,"D1.6.5-Infrastructure and Works",'PB6'!$I$3:$I$201)</f>
        <v>0</v>
      </c>
      <c r="T208" s="207"/>
      <c r="U208" s="208"/>
      <c r="V208" s="201">
        <f t="shared" si="5"/>
        <v>0</v>
      </c>
      <c r="W208" s="202"/>
      <c r="X208" s="202"/>
    </row>
    <row r="209" spans="1:24">
      <c r="A209" s="213" t="s">
        <v>416</v>
      </c>
      <c r="B209" s="213"/>
      <c r="C209" s="213"/>
      <c r="D209" s="203">
        <f>SUM(D210:D214)</f>
        <v>0</v>
      </c>
      <c r="E209" s="204"/>
      <c r="F209" s="205"/>
      <c r="G209" s="203">
        <f>SUM(G210:G214)</f>
        <v>0</v>
      </c>
      <c r="H209" s="204"/>
      <c r="I209" s="205"/>
      <c r="J209" s="203">
        <f>SUM(J210:J214)</f>
        <v>0</v>
      </c>
      <c r="K209" s="204"/>
      <c r="L209" s="205"/>
      <c r="M209" s="203">
        <f>SUM(M210:M214)</f>
        <v>0</v>
      </c>
      <c r="N209" s="204"/>
      <c r="O209" s="205"/>
      <c r="P209" s="203">
        <f>SUM(P210:P214)</f>
        <v>0</v>
      </c>
      <c r="Q209" s="204"/>
      <c r="R209" s="205"/>
      <c r="S209" s="203">
        <f>SUM(S210:S214)</f>
        <v>0</v>
      </c>
      <c r="T209" s="204"/>
      <c r="U209" s="205"/>
      <c r="V209" s="199">
        <f t="shared" si="5"/>
        <v>0</v>
      </c>
      <c r="W209" s="200"/>
      <c r="X209" s="200"/>
    </row>
    <row r="210" spans="1:24">
      <c r="A210" s="210" t="s">
        <v>231</v>
      </c>
      <c r="B210" s="210" t="s">
        <v>38</v>
      </c>
      <c r="C210" s="210" t="s">
        <v>38</v>
      </c>
      <c r="D210" s="206">
        <f>SUMIF('PB6'!$J$3:$J$201,"D2.6.1-Staff Costs",'PB6'!$I$3:$I$201)</f>
        <v>0</v>
      </c>
      <c r="E210" s="207"/>
      <c r="F210" s="208"/>
      <c r="G210" s="206">
        <f>SUMIF('PB6'!$J$3:$J$201,"D2.6.1-Office and Administration",'PB6'!$I$3:$I$201)</f>
        <v>0</v>
      </c>
      <c r="H210" s="207"/>
      <c r="I210" s="208"/>
      <c r="J210" s="206">
        <f>SUMIF('PB6'!$J$3:$J$201,"D2.6.1-Travel and Accommodation",'PB6'!$I$3:$I$201)</f>
        <v>0</v>
      </c>
      <c r="K210" s="207"/>
      <c r="L210" s="208"/>
      <c r="M210" s="206">
        <f>SUMIF('PB6'!$J$3:$J$201,"D2.6.1-External Expertise and Services",'PB6'!$I$3:$I$201)</f>
        <v>0</v>
      </c>
      <c r="N210" s="207"/>
      <c r="O210" s="208"/>
      <c r="P210" s="206">
        <f>SUMIF('PB6'!$J$3:$J$201,"D2.6.1-Equipment",'PB6'!$I$3:$I$201)</f>
        <v>0</v>
      </c>
      <c r="Q210" s="207"/>
      <c r="R210" s="208"/>
      <c r="S210" s="206">
        <f>SUMIF('PB6'!$J$3:$J$201,"D2.6.1-Infrastructure and Works",'PB6'!$I$3:$I$201)</f>
        <v>0</v>
      </c>
      <c r="T210" s="207"/>
      <c r="U210" s="208"/>
      <c r="V210" s="201">
        <f t="shared" si="5"/>
        <v>0</v>
      </c>
      <c r="W210" s="202"/>
      <c r="X210" s="202"/>
    </row>
    <row r="211" spans="1:24">
      <c r="A211" s="210" t="s">
        <v>237</v>
      </c>
      <c r="B211" s="210" t="s">
        <v>39</v>
      </c>
      <c r="C211" s="210" t="s">
        <v>39</v>
      </c>
      <c r="D211" s="206">
        <f>SUMIF('PB6'!$J$3:$J$201,"D2.6.2-Staff Costs",'PB6'!$I$3:$I$201)</f>
        <v>0</v>
      </c>
      <c r="E211" s="207"/>
      <c r="F211" s="208"/>
      <c r="G211" s="206">
        <f>SUMIF('PB6'!$J$3:$J$201,"D2.6.2-Office and Administration",'PB6'!$I$3:$I$201)</f>
        <v>0</v>
      </c>
      <c r="H211" s="207"/>
      <c r="I211" s="208"/>
      <c r="J211" s="206">
        <f>SUMIF('PB6'!$J$3:$J$201,"D2.6.2-Travel and Accommodation",'PB6'!$I$3:$I$201)</f>
        <v>0</v>
      </c>
      <c r="K211" s="207"/>
      <c r="L211" s="208"/>
      <c r="M211" s="206">
        <f>SUMIF('PB6'!$J$3:$J$201,"D2.6.2-External Expertise and Services",'PB6'!$I$3:$I$201)</f>
        <v>0</v>
      </c>
      <c r="N211" s="207"/>
      <c r="O211" s="208"/>
      <c r="P211" s="206">
        <f>SUMIF('PB6'!$J$3:$J$201,"D2.6.2-Equipment",'PB6'!$I$3:$I$201)</f>
        <v>0</v>
      </c>
      <c r="Q211" s="207"/>
      <c r="R211" s="208"/>
      <c r="S211" s="206">
        <f>SUMIF('PB6'!$J$3:$J$201,"D2.6.2-Infrastructure and Works",'PB6'!$I$3:$I$201)</f>
        <v>0</v>
      </c>
      <c r="T211" s="207"/>
      <c r="U211" s="208"/>
      <c r="V211" s="201">
        <f t="shared" si="5"/>
        <v>0</v>
      </c>
      <c r="W211" s="202"/>
      <c r="X211" s="202"/>
    </row>
    <row r="212" spans="1:24">
      <c r="A212" s="210" t="s">
        <v>243</v>
      </c>
      <c r="B212" s="210" t="s">
        <v>40</v>
      </c>
      <c r="C212" s="210" t="s">
        <v>40</v>
      </c>
      <c r="D212" s="206">
        <f>SUMIF('PB6'!$J$3:$J$201,"D2.6.3-Staff Costs",'PB6'!$I$3:$I$201)</f>
        <v>0</v>
      </c>
      <c r="E212" s="207"/>
      <c r="F212" s="208"/>
      <c r="G212" s="206">
        <f>SUMIF('PB6'!$J$3:$J$201,"D2.6.3-Office and Administration",'PB6'!$I$3:$I$201)</f>
        <v>0</v>
      </c>
      <c r="H212" s="207"/>
      <c r="I212" s="208"/>
      <c r="J212" s="206">
        <f>SUMIF('PB6'!$J$3:$J$201,"D2.6.3-Travel and Accommodation",'PB6'!$I$3:$I$201)</f>
        <v>0</v>
      </c>
      <c r="K212" s="207"/>
      <c r="L212" s="208"/>
      <c r="M212" s="206">
        <f>SUMIF('PB6'!$J$3:$J$201,"D2.6.3-External Expertise and Services",'PB6'!$I$3:$I$201)</f>
        <v>0</v>
      </c>
      <c r="N212" s="207"/>
      <c r="O212" s="208"/>
      <c r="P212" s="206">
        <f>SUMIF('PB6'!$J$3:$J$201,"D2.6.3-Equipment",'PB6'!$I$3:$I$201)</f>
        <v>0</v>
      </c>
      <c r="Q212" s="207"/>
      <c r="R212" s="208"/>
      <c r="S212" s="206">
        <f>SUMIF('PB6'!$J$3:$J$201,"D2.6.3-Infrastructure and Works",'PB6'!$I$3:$I$201)</f>
        <v>0</v>
      </c>
      <c r="T212" s="207"/>
      <c r="U212" s="208"/>
      <c r="V212" s="201">
        <f t="shared" si="5"/>
        <v>0</v>
      </c>
      <c r="W212" s="202"/>
      <c r="X212" s="202"/>
    </row>
    <row r="213" spans="1:24">
      <c r="A213" s="210" t="s">
        <v>249</v>
      </c>
      <c r="B213" s="210" t="s">
        <v>41</v>
      </c>
      <c r="C213" s="210" t="s">
        <v>41</v>
      </c>
      <c r="D213" s="206">
        <f>SUMIF('PB6'!$J$3:$J$201,"D2.6.4-Staff Costs",'PB6'!$I$3:$I$201)</f>
        <v>0</v>
      </c>
      <c r="E213" s="207"/>
      <c r="F213" s="208"/>
      <c r="G213" s="206">
        <f>SUMIF('PB6'!$J$3:$J$201,"D2.6.4-Office and Administration",'PB6'!$I$3:$I$201)</f>
        <v>0</v>
      </c>
      <c r="H213" s="207"/>
      <c r="I213" s="208"/>
      <c r="J213" s="206">
        <f>SUMIF('PB6'!$J$3:$J$201,"D2.6.4-Travel and Accommodation",'PB6'!$I$3:$I$201)</f>
        <v>0</v>
      </c>
      <c r="K213" s="207"/>
      <c r="L213" s="208"/>
      <c r="M213" s="206">
        <f>SUMIF('PB6'!$J$3:$J$201,"D2.6.4-External Expertise and Services",'PB6'!$I$3:$I$201)</f>
        <v>0</v>
      </c>
      <c r="N213" s="207"/>
      <c r="O213" s="208"/>
      <c r="P213" s="206">
        <f>SUMIF('PB6'!$J$3:$J$201,"D2.6.4-Equipment",'PB6'!$I$3:$I$201)</f>
        <v>0</v>
      </c>
      <c r="Q213" s="207"/>
      <c r="R213" s="208"/>
      <c r="S213" s="206">
        <f>SUMIF('PB6'!$J$3:$J$201,"D2.6.4-Infrastructure and Works",'PB6'!$I$3:$I$201)</f>
        <v>0</v>
      </c>
      <c r="T213" s="207"/>
      <c r="U213" s="208"/>
      <c r="V213" s="201">
        <f t="shared" si="5"/>
        <v>0</v>
      </c>
      <c r="W213" s="202"/>
      <c r="X213" s="202"/>
    </row>
    <row r="214" spans="1:24">
      <c r="A214" s="210" t="s">
        <v>255</v>
      </c>
      <c r="B214" s="210" t="s">
        <v>42</v>
      </c>
      <c r="C214" s="210" t="s">
        <v>42</v>
      </c>
      <c r="D214" s="206">
        <f>SUMIF('PB6'!$J$3:$J$201,"D2.6.5-Staff Costs",'PB6'!$I$3:$I$201)</f>
        <v>0</v>
      </c>
      <c r="E214" s="207"/>
      <c r="F214" s="208"/>
      <c r="G214" s="206">
        <f>SUMIF('PB6'!$J$3:$J$201,"D2.6.5-Office and Administration",'PB6'!$I$3:$I$201)</f>
        <v>0</v>
      </c>
      <c r="H214" s="207"/>
      <c r="I214" s="208"/>
      <c r="J214" s="206">
        <f>SUMIF('PB6'!$J$3:$J$201,"D2.6.5-Travel and Accommodation",'PB6'!$I$3:$I$201)</f>
        <v>0</v>
      </c>
      <c r="K214" s="207"/>
      <c r="L214" s="208"/>
      <c r="M214" s="206">
        <f>SUMIF('PB6'!$J$3:$J$201,"D2.6.5-External Expertise and Services",'PB6'!$I$3:$I$201)</f>
        <v>0</v>
      </c>
      <c r="N214" s="207"/>
      <c r="O214" s="208"/>
      <c r="P214" s="206">
        <f>SUMIF('PB6'!$J$3:$J$201,"D2.6.5-Equipment",'PB6'!$I$3:$I$201)</f>
        <v>0</v>
      </c>
      <c r="Q214" s="207"/>
      <c r="R214" s="208"/>
      <c r="S214" s="206">
        <f>SUMIF('PB6'!$J$3:$J$201,"D2.6.5-Infrastructure and Works",'PB6'!$I$3:$I$201)</f>
        <v>0</v>
      </c>
      <c r="T214" s="207"/>
      <c r="U214" s="208"/>
      <c r="V214" s="201">
        <f t="shared" si="5"/>
        <v>0</v>
      </c>
      <c r="W214" s="202"/>
      <c r="X214" s="202"/>
    </row>
    <row r="215" spans="1:24">
      <c r="A215" s="213" t="s">
        <v>417</v>
      </c>
      <c r="B215" s="213"/>
      <c r="C215" s="213" t="s">
        <v>418</v>
      </c>
      <c r="D215" s="203">
        <f>SUM(D216:D220)</f>
        <v>0</v>
      </c>
      <c r="E215" s="204"/>
      <c r="F215" s="205"/>
      <c r="G215" s="203">
        <f>SUM(G216:G220)</f>
        <v>0</v>
      </c>
      <c r="H215" s="204"/>
      <c r="I215" s="205"/>
      <c r="J215" s="203">
        <f>SUM(J216:J220)</f>
        <v>0</v>
      </c>
      <c r="K215" s="204"/>
      <c r="L215" s="205"/>
      <c r="M215" s="203">
        <f>SUM(M216:M220)</f>
        <v>0</v>
      </c>
      <c r="N215" s="204"/>
      <c r="O215" s="205"/>
      <c r="P215" s="203">
        <f>SUM(P216:P220)</f>
        <v>0</v>
      </c>
      <c r="Q215" s="204"/>
      <c r="R215" s="205"/>
      <c r="S215" s="203">
        <f>SUM(S216:S220)</f>
        <v>0</v>
      </c>
      <c r="T215" s="204"/>
      <c r="U215" s="205"/>
      <c r="V215" s="199">
        <f t="shared" si="5"/>
        <v>0</v>
      </c>
      <c r="W215" s="200"/>
      <c r="X215" s="200"/>
    </row>
    <row r="216" spans="1:24">
      <c r="A216" s="210" t="s">
        <v>232</v>
      </c>
      <c r="B216" s="210" t="s">
        <v>43</v>
      </c>
      <c r="C216" s="210" t="s">
        <v>43</v>
      </c>
      <c r="D216" s="206">
        <f>SUMIF('PB6'!$J$3:$J$201,"D3.6.1-Staff Costs",'PB6'!$I$3:$I$201)</f>
        <v>0</v>
      </c>
      <c r="E216" s="207"/>
      <c r="F216" s="208"/>
      <c r="G216" s="206">
        <f>SUMIF('PB6'!$J$3:$J$201,"D3.6.1-Office and Administration",'PB6'!$I$3:$I$201)</f>
        <v>0</v>
      </c>
      <c r="H216" s="207"/>
      <c r="I216" s="208"/>
      <c r="J216" s="206">
        <f>SUMIF('PB6'!$J$3:$J$201,"D3.6.1-Travel and Accommodation",'PB6'!$I$3:$I$201)</f>
        <v>0</v>
      </c>
      <c r="K216" s="207"/>
      <c r="L216" s="208"/>
      <c r="M216" s="206">
        <f>SUMIF('PB6'!$J$3:$J$201,"D3.6.1-External Expertise and Services",'PB6'!$I$3:$I$201)</f>
        <v>0</v>
      </c>
      <c r="N216" s="207"/>
      <c r="O216" s="208"/>
      <c r="P216" s="206">
        <f>SUMIF('PB6'!$J$3:$J$201,"D3.6.1-Equipment",'PB6'!$I$3:$I$201)</f>
        <v>0</v>
      </c>
      <c r="Q216" s="207"/>
      <c r="R216" s="208"/>
      <c r="S216" s="206">
        <f>SUMIF('PB6'!$J$3:$J$201,"D3.6.1-Infrastructure and Works",'PB6'!$I$3:$I$201)</f>
        <v>0</v>
      </c>
      <c r="T216" s="207"/>
      <c r="U216" s="208"/>
      <c r="V216" s="201">
        <f t="shared" si="5"/>
        <v>0</v>
      </c>
      <c r="W216" s="202"/>
      <c r="X216" s="202"/>
    </row>
    <row r="217" spans="1:24">
      <c r="A217" s="210" t="s">
        <v>238</v>
      </c>
      <c r="B217" s="210" t="s">
        <v>44</v>
      </c>
      <c r="C217" s="210" t="s">
        <v>44</v>
      </c>
      <c r="D217" s="206">
        <f>SUMIF('PB6'!$J$3:$J$201,"D3.6.2-Staff Costs",'PB6'!$I$3:$I$201)</f>
        <v>0</v>
      </c>
      <c r="E217" s="207"/>
      <c r="F217" s="208"/>
      <c r="G217" s="206">
        <f>SUMIF('PB6'!$J$3:$J$201,"D3.6.2-Office and Administration",'PB6'!$I$3:$I$201)</f>
        <v>0</v>
      </c>
      <c r="H217" s="207"/>
      <c r="I217" s="208"/>
      <c r="J217" s="206">
        <f>SUMIF('PB6'!$J$3:$J$201,"D3.6.2-Travel and Accommodation",'PB6'!$I$3:$I$201)</f>
        <v>0</v>
      </c>
      <c r="K217" s="207"/>
      <c r="L217" s="208"/>
      <c r="M217" s="206">
        <f>SUMIF('PB6'!$J$3:$J$201,"D3.6.2-External Expertise and Services",'PB6'!$I$3:$I$201)</f>
        <v>0</v>
      </c>
      <c r="N217" s="207"/>
      <c r="O217" s="208"/>
      <c r="P217" s="206">
        <f>SUMIF('PB6'!$J$3:$J$201,"D3.6.2-Equipment",'PB6'!$I$3:$I$201)</f>
        <v>0</v>
      </c>
      <c r="Q217" s="207"/>
      <c r="R217" s="208"/>
      <c r="S217" s="206">
        <f>SUMIF('PB6'!$J$3:$J$201,"D3.6.2-Infrastructure and Works",'PB6'!$I$3:$I$201)</f>
        <v>0</v>
      </c>
      <c r="T217" s="207"/>
      <c r="U217" s="208"/>
      <c r="V217" s="201">
        <f t="shared" si="5"/>
        <v>0</v>
      </c>
      <c r="W217" s="202"/>
      <c r="X217" s="202"/>
    </row>
    <row r="218" spans="1:24">
      <c r="A218" s="210" t="s">
        <v>244</v>
      </c>
      <c r="B218" s="210" t="s">
        <v>45</v>
      </c>
      <c r="C218" s="210" t="s">
        <v>45</v>
      </c>
      <c r="D218" s="206">
        <f>SUMIF('PB6'!$J$3:$J$201,"D3.6.3-Staff Costs",'PB6'!$I$3:$I$201)</f>
        <v>0</v>
      </c>
      <c r="E218" s="207"/>
      <c r="F218" s="208"/>
      <c r="G218" s="206">
        <f>SUMIF('PB6'!$J$3:$J$201,"D3.6.3-Office and Administration",'PB6'!$I$3:$I$201)</f>
        <v>0</v>
      </c>
      <c r="H218" s="207"/>
      <c r="I218" s="208"/>
      <c r="J218" s="206">
        <f>SUMIF('PB6'!$J$3:$J$201,"D3.6.3-Travel and Accommodation",'PB6'!$I$3:$I$201)</f>
        <v>0</v>
      </c>
      <c r="K218" s="207"/>
      <c r="L218" s="208"/>
      <c r="M218" s="206">
        <f>SUMIF('PB6'!$J$3:$J$201,"D3.6.3-External Expertise and Services",'PB6'!$I$3:$I$201)</f>
        <v>0</v>
      </c>
      <c r="N218" s="207"/>
      <c r="O218" s="208"/>
      <c r="P218" s="206">
        <f>SUMIF('PB6'!$J$3:$J$201,"D3.6.3-Equipment",'PB6'!$I$3:$I$201)</f>
        <v>0</v>
      </c>
      <c r="Q218" s="207"/>
      <c r="R218" s="208"/>
      <c r="S218" s="206">
        <f>SUMIF('PB6'!$J$3:$J$201,"D3.6.3-Infrastructure and Works",'PB6'!$I$3:$I$201)</f>
        <v>0</v>
      </c>
      <c r="T218" s="207"/>
      <c r="U218" s="208"/>
      <c r="V218" s="201">
        <f t="shared" si="5"/>
        <v>0</v>
      </c>
      <c r="W218" s="202"/>
      <c r="X218" s="202"/>
    </row>
    <row r="219" spans="1:24">
      <c r="A219" s="210" t="s">
        <v>250</v>
      </c>
      <c r="B219" s="210" t="s">
        <v>46</v>
      </c>
      <c r="C219" s="210" t="s">
        <v>46</v>
      </c>
      <c r="D219" s="206">
        <f>SUMIF('PB6'!$J$3:$J$201,"D3.6.4-Staff Costs",'PB6'!$I$3:$I$201)</f>
        <v>0</v>
      </c>
      <c r="E219" s="207"/>
      <c r="F219" s="208"/>
      <c r="G219" s="206">
        <f>SUMIF('PB6'!$J$3:$J$201,"D3.6.4-Office and Administration",'PB6'!$I$3:$I$201)</f>
        <v>0</v>
      </c>
      <c r="H219" s="207"/>
      <c r="I219" s="208"/>
      <c r="J219" s="206">
        <f>SUMIF('PB6'!$J$3:$J$201,"D3.6.4-Travel and Accommodation",'PB6'!$I$3:$I$201)</f>
        <v>0</v>
      </c>
      <c r="K219" s="207"/>
      <c r="L219" s="208"/>
      <c r="M219" s="206">
        <f>SUMIF('PB6'!$J$3:$J$201,"D3.6.4-External Expertise and Services",'PB6'!$I$3:$I$201)</f>
        <v>0</v>
      </c>
      <c r="N219" s="207"/>
      <c r="O219" s="208"/>
      <c r="P219" s="206">
        <f>SUMIF('PB6'!$J$3:$J$201,"D3.6.4-Equipment",'PB6'!$I$3:$I$201)</f>
        <v>0</v>
      </c>
      <c r="Q219" s="207"/>
      <c r="R219" s="208"/>
      <c r="S219" s="206">
        <f>SUMIF('PB6'!$J$3:$J$201,"D3.6.4-Infrastructure and Works",'PB6'!$I$3:$I$201)</f>
        <v>0</v>
      </c>
      <c r="T219" s="207"/>
      <c r="U219" s="208"/>
      <c r="V219" s="201">
        <f t="shared" si="5"/>
        <v>0</v>
      </c>
      <c r="W219" s="202"/>
      <c r="X219" s="202"/>
    </row>
    <row r="220" spans="1:24">
      <c r="A220" s="210" t="s">
        <v>256</v>
      </c>
      <c r="B220" s="210" t="s">
        <v>47</v>
      </c>
      <c r="C220" s="210" t="s">
        <v>47</v>
      </c>
      <c r="D220" s="206">
        <f>SUMIF('PB6'!$J$3:$J$201,"D3.6.5-Staff Costs",'PB6'!$I$3:$I$201)</f>
        <v>0</v>
      </c>
      <c r="E220" s="207"/>
      <c r="F220" s="208"/>
      <c r="G220" s="206">
        <f>SUMIF('PB6'!$J$3:$J$201,"D3.6.5-Office and Administration",'PB6'!$I$3:$I$201)</f>
        <v>0</v>
      </c>
      <c r="H220" s="207"/>
      <c r="I220" s="208"/>
      <c r="J220" s="206">
        <f>SUMIF('PB6'!$J$3:$J$201,"D3.6.5-Travel and Accommodation",'PB6'!$I$3:$I$201)</f>
        <v>0</v>
      </c>
      <c r="K220" s="207"/>
      <c r="L220" s="208"/>
      <c r="M220" s="206">
        <f>SUMIF('PB6'!$J$3:$J$201,"D3.6.5-External Expertise and Services",'PB6'!$I$3:$I$201)</f>
        <v>0</v>
      </c>
      <c r="N220" s="207"/>
      <c r="O220" s="208"/>
      <c r="P220" s="206">
        <f>SUMIF('PB6'!$J$3:$J$201,"D3.6.5-Equipment",'PB6'!$I$3:$I$201)</f>
        <v>0</v>
      </c>
      <c r="Q220" s="207"/>
      <c r="R220" s="208"/>
      <c r="S220" s="206">
        <f>SUMIF('PB6'!$J$3:$J$201,"D3.6.5-Infrastructure and Works",'PB6'!$I$3:$I$201)</f>
        <v>0</v>
      </c>
      <c r="T220" s="207"/>
      <c r="U220" s="208"/>
      <c r="V220" s="201">
        <f t="shared" si="5"/>
        <v>0</v>
      </c>
      <c r="W220" s="202"/>
      <c r="X220" s="202"/>
    </row>
    <row r="221" spans="1:24">
      <c r="A221" s="213" t="s">
        <v>419</v>
      </c>
      <c r="B221" s="213"/>
      <c r="C221" s="213" t="s">
        <v>418</v>
      </c>
      <c r="D221" s="203">
        <f>SUM(D222:D226)</f>
        <v>0</v>
      </c>
      <c r="E221" s="204"/>
      <c r="F221" s="205"/>
      <c r="G221" s="203">
        <f>SUM(G222:G226)</f>
        <v>0</v>
      </c>
      <c r="H221" s="204"/>
      <c r="I221" s="205"/>
      <c r="J221" s="203">
        <f>SUM(J222:J226)</f>
        <v>0</v>
      </c>
      <c r="K221" s="204"/>
      <c r="L221" s="205"/>
      <c r="M221" s="203">
        <f>SUM(M222:M226)</f>
        <v>0</v>
      </c>
      <c r="N221" s="204"/>
      <c r="O221" s="205"/>
      <c r="P221" s="203">
        <f>SUM(P222:P226)</f>
        <v>0</v>
      </c>
      <c r="Q221" s="204"/>
      <c r="R221" s="205"/>
      <c r="S221" s="203">
        <f>SUM(S222:S226)</f>
        <v>0</v>
      </c>
      <c r="T221" s="204"/>
      <c r="U221" s="205"/>
      <c r="V221" s="199">
        <f t="shared" si="5"/>
        <v>0</v>
      </c>
      <c r="W221" s="200"/>
      <c r="X221" s="200"/>
    </row>
    <row r="222" spans="1:24">
      <c r="A222" s="210" t="s">
        <v>233</v>
      </c>
      <c r="B222" s="210" t="s">
        <v>48</v>
      </c>
      <c r="C222" s="210" t="s">
        <v>48</v>
      </c>
      <c r="D222" s="206">
        <f>SUMIF('PB6'!$J$3:$J$201,"D4.6.1-Staff Costs",'PB6'!$I$3:$I$201)</f>
        <v>0</v>
      </c>
      <c r="E222" s="207"/>
      <c r="F222" s="208"/>
      <c r="G222" s="206">
        <f>SUMIF('PB6'!$J$3:$J$201,"D4.6.1-Office and Administration",'PB6'!$I$3:$I$201)</f>
        <v>0</v>
      </c>
      <c r="H222" s="207"/>
      <c r="I222" s="208"/>
      <c r="J222" s="206">
        <f>SUMIF('PB6'!$J$3:$J$201,"D4.6.1-Travel and Accommodation",'PB6'!$I$3:$I$201)</f>
        <v>0</v>
      </c>
      <c r="K222" s="207"/>
      <c r="L222" s="208"/>
      <c r="M222" s="206">
        <f>SUMIF('PB6'!$J$3:$J$201,"D4.6.1-External Expertise and Services",'PB6'!$I$3:$I$201)</f>
        <v>0</v>
      </c>
      <c r="N222" s="207"/>
      <c r="O222" s="208"/>
      <c r="P222" s="206">
        <f>SUMIF('PB6'!$J$3:$J$201,"D4.6.1-Equipment",'PB6'!$I$3:$I$201)</f>
        <v>0</v>
      </c>
      <c r="Q222" s="207"/>
      <c r="R222" s="208"/>
      <c r="S222" s="206">
        <f>SUMIF('PB6'!$J$3:$J$201,"D4.6.1-Infrastructure and Works",'PB6'!$I$3:$I$201)</f>
        <v>0</v>
      </c>
      <c r="T222" s="207"/>
      <c r="U222" s="208"/>
      <c r="V222" s="201">
        <f t="shared" si="5"/>
        <v>0</v>
      </c>
      <c r="W222" s="202"/>
      <c r="X222" s="202"/>
    </row>
    <row r="223" spans="1:24">
      <c r="A223" s="210" t="s">
        <v>239</v>
      </c>
      <c r="B223" s="210" t="s">
        <v>49</v>
      </c>
      <c r="C223" s="210" t="s">
        <v>49</v>
      </c>
      <c r="D223" s="206">
        <f>SUMIF('PB6'!$J$3:$J$201,"D4.6.2-Staff Costs",'PB6'!$I$3:$I$201)</f>
        <v>0</v>
      </c>
      <c r="E223" s="207"/>
      <c r="F223" s="208"/>
      <c r="G223" s="206">
        <f>SUMIF('PB6'!$J$3:$J$201,"D4.6.2-Office and Administration",'PB6'!$I$3:$I$201)</f>
        <v>0</v>
      </c>
      <c r="H223" s="207"/>
      <c r="I223" s="208"/>
      <c r="J223" s="206">
        <f>SUMIF('PB6'!$J$3:$J$201,"D4.6.2-Travel and Accommodation",'PB6'!$I$3:$I$201)</f>
        <v>0</v>
      </c>
      <c r="K223" s="207"/>
      <c r="L223" s="208"/>
      <c r="M223" s="206">
        <f>SUMIF('PB6'!$J$3:$J$201,"D4.6.2-External Expertise and Services",'PB6'!$I$3:$I$201)</f>
        <v>0</v>
      </c>
      <c r="N223" s="207"/>
      <c r="O223" s="208"/>
      <c r="P223" s="206">
        <f>SUMIF('PB6'!$J$3:$J$201,"D4.6.2-Equipment",'PB6'!$I$3:$I$201)</f>
        <v>0</v>
      </c>
      <c r="Q223" s="207"/>
      <c r="R223" s="208"/>
      <c r="S223" s="206">
        <f>SUMIF('PB6'!$J$3:$J$201,"D4.6.2-Infrastructure and Works",'PB6'!$I$3:$I$201)</f>
        <v>0</v>
      </c>
      <c r="T223" s="207"/>
      <c r="U223" s="208"/>
      <c r="V223" s="201">
        <f t="shared" si="5"/>
        <v>0</v>
      </c>
      <c r="W223" s="202"/>
      <c r="X223" s="202"/>
    </row>
    <row r="224" spans="1:24">
      <c r="A224" s="210" t="s">
        <v>245</v>
      </c>
      <c r="B224" s="210" t="s">
        <v>50</v>
      </c>
      <c r="C224" s="210" t="s">
        <v>50</v>
      </c>
      <c r="D224" s="206">
        <f>SUMIF('PB6'!$J$3:$J$201,"D4.6.3-Staff Costs",'PB6'!$I$3:$I$201)</f>
        <v>0</v>
      </c>
      <c r="E224" s="207"/>
      <c r="F224" s="208"/>
      <c r="G224" s="206">
        <f>SUMIF('PB6'!$J$3:$J$201,"D4.6.3-Office and Administration",'PB6'!$I$3:$I$201)</f>
        <v>0</v>
      </c>
      <c r="H224" s="207"/>
      <c r="I224" s="208"/>
      <c r="J224" s="206">
        <f>SUMIF('PB6'!$J$3:$J$201,"D4.6.3-Travel and Accommodation",'PB6'!$I$3:$I$201)</f>
        <v>0</v>
      </c>
      <c r="K224" s="207"/>
      <c r="L224" s="208"/>
      <c r="M224" s="206">
        <f>SUMIF('PB6'!$J$3:$J$201,"D4.6.3-External Expertise and Services",'PB6'!$I$3:$I$201)</f>
        <v>0</v>
      </c>
      <c r="N224" s="207"/>
      <c r="O224" s="208"/>
      <c r="P224" s="206">
        <f>SUMIF('PB6'!$J$3:$J$201,"D4.6.3-Equipment",'PB6'!$I$3:$I$201)</f>
        <v>0</v>
      </c>
      <c r="Q224" s="207"/>
      <c r="R224" s="208"/>
      <c r="S224" s="206">
        <f>SUMIF('PB6'!$J$3:$J$201,"D4.6.3-Infrastructure and Works",'PB6'!$I$3:$I$201)</f>
        <v>0</v>
      </c>
      <c r="T224" s="207"/>
      <c r="U224" s="208"/>
      <c r="V224" s="201">
        <f t="shared" si="5"/>
        <v>0</v>
      </c>
      <c r="W224" s="202"/>
      <c r="X224" s="202"/>
    </row>
    <row r="225" spans="1:24">
      <c r="A225" s="210" t="s">
        <v>251</v>
      </c>
      <c r="B225" s="210" t="s">
        <v>51</v>
      </c>
      <c r="C225" s="210" t="s">
        <v>51</v>
      </c>
      <c r="D225" s="206">
        <f>SUMIF('PB6'!$J$3:$J$201,"D4.6.4-Staff Costs",'PB6'!$I$3:$I$201)</f>
        <v>0</v>
      </c>
      <c r="E225" s="207"/>
      <c r="F225" s="208"/>
      <c r="G225" s="206">
        <f>SUMIF('PB6'!$J$3:$J$201,"D4.6.4-Office and Administration",'PB6'!$I$3:$I$201)</f>
        <v>0</v>
      </c>
      <c r="H225" s="207"/>
      <c r="I225" s="208"/>
      <c r="J225" s="206">
        <f>SUMIF('PB6'!$J$3:$J$201,"D4.6.4-Travel and Accommodation",'PB6'!$I$3:$I$201)</f>
        <v>0</v>
      </c>
      <c r="K225" s="207"/>
      <c r="L225" s="208"/>
      <c r="M225" s="206">
        <f>SUMIF('PB6'!$J$3:$J$201,"D4.6.4-External Expertise and Services",'PB6'!$I$3:$I$201)</f>
        <v>0</v>
      </c>
      <c r="N225" s="207"/>
      <c r="O225" s="208"/>
      <c r="P225" s="206">
        <f>SUMIF('PB6'!$J$3:$J$201,"D4.6.4-Equipment",'PB6'!$I$3:$I$201)</f>
        <v>0</v>
      </c>
      <c r="Q225" s="207"/>
      <c r="R225" s="208"/>
      <c r="S225" s="206">
        <f>SUMIF('PB6'!$J$3:$J$201,"D4.6.4-Infrastructure and Works",'PB6'!$I$3:$I$201)</f>
        <v>0</v>
      </c>
      <c r="T225" s="207"/>
      <c r="U225" s="208"/>
      <c r="V225" s="201">
        <f t="shared" si="5"/>
        <v>0</v>
      </c>
      <c r="W225" s="202"/>
      <c r="X225" s="202"/>
    </row>
    <row r="226" spans="1:24">
      <c r="A226" s="210" t="s">
        <v>257</v>
      </c>
      <c r="B226" s="210" t="s">
        <v>52</v>
      </c>
      <c r="C226" s="210" t="s">
        <v>52</v>
      </c>
      <c r="D226" s="206">
        <f>SUMIF('PB6'!$J$3:$J$201,"D4.6.5-Staff Costs",'PB6'!$I$3:$I$201)</f>
        <v>0</v>
      </c>
      <c r="E226" s="207"/>
      <c r="F226" s="208"/>
      <c r="G226" s="206">
        <f>SUMIF('PB6'!$J$3:$J$201,"D4.6.5-Office and Administration",'PB6'!$I$3:$I$201)</f>
        <v>0</v>
      </c>
      <c r="H226" s="207"/>
      <c r="I226" s="208"/>
      <c r="J226" s="206">
        <f>SUMIF('PB6'!$J$3:$J$201,"D4.6.5-Travel and Accommodation",'PB6'!$I$3:$I$201)</f>
        <v>0</v>
      </c>
      <c r="K226" s="207"/>
      <c r="L226" s="208"/>
      <c r="M226" s="206">
        <f>SUMIF('PB6'!$J$3:$J$201,"D4.6.5-External Expertise and Services",'PB6'!$I$3:$I$201)</f>
        <v>0</v>
      </c>
      <c r="N226" s="207"/>
      <c r="O226" s="208"/>
      <c r="P226" s="206">
        <f>SUMIF('PB6'!$J$3:$J$201,"D4.6.5-Equipment",'PB6'!$I$3:$I$201)</f>
        <v>0</v>
      </c>
      <c r="Q226" s="207"/>
      <c r="R226" s="208"/>
      <c r="S226" s="206">
        <f>SUMIF('PB6'!$J$3:$J$201,"D4.6.5-Infrastructure and Works",'PB6'!$I$3:$I$201)</f>
        <v>0</v>
      </c>
      <c r="T226" s="207"/>
      <c r="U226" s="208"/>
      <c r="V226" s="201">
        <f t="shared" si="5"/>
        <v>0</v>
      </c>
      <c r="W226" s="202"/>
      <c r="X226" s="202"/>
    </row>
    <row r="227" spans="1:24">
      <c r="A227" s="213" t="s">
        <v>420</v>
      </c>
      <c r="B227" s="213"/>
      <c r="C227" s="213" t="s">
        <v>418</v>
      </c>
      <c r="D227" s="203">
        <f>SUM(D228:D232)</f>
        <v>0</v>
      </c>
      <c r="E227" s="204"/>
      <c r="F227" s="205"/>
      <c r="G227" s="203">
        <f>SUM(G228:G232)</f>
        <v>0</v>
      </c>
      <c r="H227" s="204"/>
      <c r="I227" s="205"/>
      <c r="J227" s="203">
        <f>SUM(J228:J232)</f>
        <v>0</v>
      </c>
      <c r="K227" s="204"/>
      <c r="L227" s="205"/>
      <c r="M227" s="203">
        <f>SUM(M228:M232)</f>
        <v>0</v>
      </c>
      <c r="N227" s="204"/>
      <c r="O227" s="205"/>
      <c r="P227" s="203">
        <f>SUM(P228:P232)</f>
        <v>0</v>
      </c>
      <c r="Q227" s="204"/>
      <c r="R227" s="205"/>
      <c r="S227" s="203">
        <f>SUM(S228:S232)</f>
        <v>0</v>
      </c>
      <c r="T227" s="204"/>
      <c r="U227" s="205"/>
      <c r="V227" s="199">
        <f t="shared" si="5"/>
        <v>0</v>
      </c>
      <c r="W227" s="200"/>
      <c r="X227" s="200"/>
    </row>
    <row r="228" spans="1:24">
      <c r="A228" s="210" t="s">
        <v>234</v>
      </c>
      <c r="B228" s="210" t="s">
        <v>53</v>
      </c>
      <c r="C228" s="210" t="s">
        <v>53</v>
      </c>
      <c r="D228" s="206">
        <f>SUMIF('PB6'!$J$3:$J$201,"D5.6.1-Staff Costs",'PB6'!$I$3:$I$201)</f>
        <v>0</v>
      </c>
      <c r="E228" s="207"/>
      <c r="F228" s="208"/>
      <c r="G228" s="206">
        <f>SUMIF('PB6'!$J$3:$J$201,"D5.6.1-Office and Administration",'PB6'!$I$3:$I$201)</f>
        <v>0</v>
      </c>
      <c r="H228" s="207"/>
      <c r="I228" s="208"/>
      <c r="J228" s="206">
        <f>SUMIF('PB6'!$J$3:$J$201,"D5.6.1-Travel and Accommodation",'PB6'!$I$3:$I$201)</f>
        <v>0</v>
      </c>
      <c r="K228" s="207"/>
      <c r="L228" s="208"/>
      <c r="M228" s="206">
        <f>SUMIF('PB6'!$J$3:$J$201,"D5.6.1-External Expertise and Services",'PB6'!$I$3:$I$201)</f>
        <v>0</v>
      </c>
      <c r="N228" s="207"/>
      <c r="O228" s="208"/>
      <c r="P228" s="206">
        <f>SUMIF('PB6'!$J$3:$J$201,"D5.6.1-Equipment",'PB6'!$I$3:$I$201)</f>
        <v>0</v>
      </c>
      <c r="Q228" s="207"/>
      <c r="R228" s="208"/>
      <c r="S228" s="206">
        <f>SUMIF('PB6'!$J$3:$J$201,"D5.6.1-Infrastructure and Works",'PB6'!$I$3:$I$201)</f>
        <v>0</v>
      </c>
      <c r="T228" s="207"/>
      <c r="U228" s="208"/>
      <c r="V228" s="201">
        <f t="shared" si="5"/>
        <v>0</v>
      </c>
      <c r="W228" s="202"/>
      <c r="X228" s="202"/>
    </row>
    <row r="229" spans="1:24">
      <c r="A229" s="210" t="s">
        <v>240</v>
      </c>
      <c r="B229" s="210" t="s">
        <v>54</v>
      </c>
      <c r="C229" s="210" t="s">
        <v>54</v>
      </c>
      <c r="D229" s="206">
        <f>SUMIF('PB6'!$J$3:$J$201,"D5.6.2-Staff Costs",'PB6'!$I$3:$I$201)</f>
        <v>0</v>
      </c>
      <c r="E229" s="207"/>
      <c r="F229" s="208"/>
      <c r="G229" s="206">
        <f>SUMIF('PB6'!$J$3:$J$201,"D5.6.2-Office and Administration",'PB6'!$I$3:$I$201)</f>
        <v>0</v>
      </c>
      <c r="H229" s="207"/>
      <c r="I229" s="208"/>
      <c r="J229" s="206">
        <f>SUMIF('PB6'!$J$3:$J$201,"D5.6.2-Travel and Accommodation",'PB6'!$I$3:$I$201)</f>
        <v>0</v>
      </c>
      <c r="K229" s="207"/>
      <c r="L229" s="208"/>
      <c r="M229" s="206">
        <f>SUMIF('PB6'!$J$3:$J$201,"D5.6.2-External Expertise and Services",'PB6'!$I$3:$I$201)</f>
        <v>0</v>
      </c>
      <c r="N229" s="207"/>
      <c r="O229" s="208"/>
      <c r="P229" s="206">
        <f>SUMIF('PB6'!$J$3:$J$201,"D5.6.2-Equipment",'PB6'!$I$3:$I$201)</f>
        <v>0</v>
      </c>
      <c r="Q229" s="207"/>
      <c r="R229" s="208"/>
      <c r="S229" s="206">
        <f>SUMIF('PB6'!$J$3:$J$201,"D5.6.2-Infrastructure and Works",'PB6'!$I$3:$I$201)</f>
        <v>0</v>
      </c>
      <c r="T229" s="207"/>
      <c r="U229" s="208"/>
      <c r="V229" s="201">
        <f t="shared" si="5"/>
        <v>0</v>
      </c>
      <c r="W229" s="202"/>
      <c r="X229" s="202"/>
    </row>
    <row r="230" spans="1:24">
      <c r="A230" s="210" t="s">
        <v>246</v>
      </c>
      <c r="B230" s="210" t="s">
        <v>55</v>
      </c>
      <c r="C230" s="210" t="s">
        <v>55</v>
      </c>
      <c r="D230" s="206">
        <f>SUMIF('PB6'!$J$3:$J$201,"D5.6.3-Staff Costs",'PB6'!$I$3:$I$201)</f>
        <v>0</v>
      </c>
      <c r="E230" s="207"/>
      <c r="F230" s="208"/>
      <c r="G230" s="206">
        <f>SUMIF('PB6'!$J$3:$J$201,"D5.6.3-Office and Administration",'PB6'!$I$3:$I$201)</f>
        <v>0</v>
      </c>
      <c r="H230" s="207"/>
      <c r="I230" s="208"/>
      <c r="J230" s="206">
        <f>SUMIF('PB6'!$J$3:$J$201,"D5.6.3-Travel and Accommodation",'PB6'!$I$3:$I$201)</f>
        <v>0</v>
      </c>
      <c r="K230" s="207"/>
      <c r="L230" s="208"/>
      <c r="M230" s="206">
        <f>SUMIF('PB6'!$J$3:$J$201,"D5.6.3-External Expertise and Services",'PB6'!$I$3:$I$201)</f>
        <v>0</v>
      </c>
      <c r="N230" s="207"/>
      <c r="O230" s="208"/>
      <c r="P230" s="206">
        <f>SUMIF('PB6'!$J$3:$J$201,"D5.6.3-Equipment",'PB6'!$I$3:$I$201)</f>
        <v>0</v>
      </c>
      <c r="Q230" s="207"/>
      <c r="R230" s="208"/>
      <c r="S230" s="206">
        <f>SUMIF('PB6'!$J$3:$J$201,"D5.6.3-Infrastructure and Works",'PB6'!$I$3:$I$201)</f>
        <v>0</v>
      </c>
      <c r="T230" s="207"/>
      <c r="U230" s="208"/>
      <c r="V230" s="201">
        <f t="shared" si="5"/>
        <v>0</v>
      </c>
      <c r="W230" s="202"/>
      <c r="X230" s="202"/>
    </row>
    <row r="231" spans="1:24">
      <c r="A231" s="210" t="s">
        <v>252</v>
      </c>
      <c r="B231" s="210" t="s">
        <v>56</v>
      </c>
      <c r="C231" s="210" t="s">
        <v>56</v>
      </c>
      <c r="D231" s="206">
        <f>SUMIF('PB6'!$J$3:$J$201,"D5.6.4-Staff Costs",'PB6'!$I$3:$I$201)</f>
        <v>0</v>
      </c>
      <c r="E231" s="207"/>
      <c r="F231" s="208"/>
      <c r="G231" s="206">
        <f>SUMIF('PB6'!$J$3:$J$201,"D5.6.4-Office and Administration",'PB6'!$I$3:$I$201)</f>
        <v>0</v>
      </c>
      <c r="H231" s="207"/>
      <c r="I231" s="208"/>
      <c r="J231" s="206">
        <f>SUMIF('PB6'!$J$3:$J$201,"D5.6.4-Travel and Accommodation",'PB6'!$I$3:$I$201)</f>
        <v>0</v>
      </c>
      <c r="K231" s="207"/>
      <c r="L231" s="208"/>
      <c r="M231" s="206">
        <f>SUMIF('PB6'!$J$3:$J$201,"D5.6.4-External Expertise and Services",'PB6'!$I$3:$I$201)</f>
        <v>0</v>
      </c>
      <c r="N231" s="207"/>
      <c r="O231" s="208"/>
      <c r="P231" s="206">
        <f>SUMIF('PB6'!$J$3:$J$201,"D5.6.4-Equipment",'PB6'!$I$3:$I$201)</f>
        <v>0</v>
      </c>
      <c r="Q231" s="207"/>
      <c r="R231" s="208"/>
      <c r="S231" s="206">
        <f>SUMIF('PB6'!$J$3:$J$201,"D5.6.4-Infrastructure and Works",'PB6'!$I$3:$I$201)</f>
        <v>0</v>
      </c>
      <c r="T231" s="207"/>
      <c r="U231" s="208"/>
      <c r="V231" s="201">
        <f t="shared" si="5"/>
        <v>0</v>
      </c>
      <c r="W231" s="202"/>
      <c r="X231" s="202"/>
    </row>
    <row r="232" spans="1:24">
      <c r="A232" s="210" t="s">
        <v>258</v>
      </c>
      <c r="B232" s="210" t="s">
        <v>57</v>
      </c>
      <c r="C232" s="210" t="s">
        <v>57</v>
      </c>
      <c r="D232" s="206">
        <f>SUMIF('PB6'!$J$3:$J$201,"D5.6.5-Staff Costs",'PB6'!$I$3:$I$201)</f>
        <v>0</v>
      </c>
      <c r="E232" s="207"/>
      <c r="F232" s="208"/>
      <c r="G232" s="206">
        <f>SUMIF('PB6'!$J$3:$J$201,"D5.6.5-Office and Administration",'PB6'!$I$3:$I$201)</f>
        <v>0</v>
      </c>
      <c r="H232" s="207"/>
      <c r="I232" s="208"/>
      <c r="J232" s="206">
        <f>SUMIF('PB6'!$J$3:$J$201,"D5.6.5-Travel and Accommodation",'PB6'!$I$3:$I$201)</f>
        <v>0</v>
      </c>
      <c r="K232" s="207"/>
      <c r="L232" s="208"/>
      <c r="M232" s="206">
        <f>SUMIF('PB6'!$J$3:$J$201,"D5.6.5-External Expertise and Services",'PB6'!$I$3:$I$201)</f>
        <v>0</v>
      </c>
      <c r="N232" s="207"/>
      <c r="O232" s="208"/>
      <c r="P232" s="206">
        <f>SUMIF('PB6'!$J$3:$J$201,"D5.6.5-Equipment",'PB6'!$I$3:$I$201)</f>
        <v>0</v>
      </c>
      <c r="Q232" s="207"/>
      <c r="R232" s="208"/>
      <c r="S232" s="206">
        <f>SUMIF('PB6'!$J$3:$J$201,"D5.6.5-Infrastructure and Works",'PB6'!$I$3:$I$201)</f>
        <v>0</v>
      </c>
      <c r="T232" s="207"/>
      <c r="U232" s="208"/>
      <c r="V232" s="201">
        <f t="shared" si="5"/>
        <v>0</v>
      </c>
      <c r="W232" s="202"/>
      <c r="X232" s="202"/>
    </row>
    <row r="233" spans="1:24">
      <c r="A233" s="213" t="s">
        <v>421</v>
      </c>
      <c r="B233" s="213"/>
      <c r="C233" s="213" t="s">
        <v>418</v>
      </c>
      <c r="D233" s="203">
        <f>SUM(D234:D238)</f>
        <v>0</v>
      </c>
      <c r="E233" s="204"/>
      <c r="F233" s="205"/>
      <c r="G233" s="203">
        <f>SUM(G234:G238)</f>
        <v>0</v>
      </c>
      <c r="H233" s="204"/>
      <c r="I233" s="205"/>
      <c r="J233" s="203">
        <f>SUM(J234:J238)</f>
        <v>0</v>
      </c>
      <c r="K233" s="204"/>
      <c r="L233" s="205"/>
      <c r="M233" s="203">
        <f>SUM(M234:M238)</f>
        <v>0</v>
      </c>
      <c r="N233" s="204"/>
      <c r="O233" s="205"/>
      <c r="P233" s="203">
        <f>SUM(P234:P238)</f>
        <v>0</v>
      </c>
      <c r="Q233" s="204"/>
      <c r="R233" s="205"/>
      <c r="S233" s="203">
        <f>SUM(S234:S238)</f>
        <v>0</v>
      </c>
      <c r="T233" s="204"/>
      <c r="U233" s="205"/>
      <c r="V233" s="199">
        <f t="shared" si="5"/>
        <v>0</v>
      </c>
      <c r="W233" s="200"/>
      <c r="X233" s="200"/>
    </row>
    <row r="234" spans="1:24">
      <c r="A234" s="210" t="s">
        <v>235</v>
      </c>
      <c r="B234" s="210" t="s">
        <v>58</v>
      </c>
      <c r="C234" s="210" t="s">
        <v>58</v>
      </c>
      <c r="D234" s="206">
        <f>SUMIF('PB6'!$J$3:$J$201,"D6.6.1-Staff Costs",'PB6'!$I$3:$I$201)</f>
        <v>0</v>
      </c>
      <c r="E234" s="207"/>
      <c r="F234" s="208"/>
      <c r="G234" s="206">
        <f>SUMIF('PB6'!$J$3:$J$201,"D6.6.1-Office and Administration",'PB6'!$I$3:$I$201)</f>
        <v>0</v>
      </c>
      <c r="H234" s="207"/>
      <c r="I234" s="208"/>
      <c r="J234" s="206">
        <f>SUMIF('PB6'!$J$3:$J$201,"D6.6.1-Travel and Accommodation",'PB6'!$I$3:$I$201)</f>
        <v>0</v>
      </c>
      <c r="K234" s="207"/>
      <c r="L234" s="208"/>
      <c r="M234" s="206">
        <f>SUMIF('PB6'!$J$3:$J$201,"D6.6.1-External Expertise and Services",'PB6'!$I$3:$I$201)</f>
        <v>0</v>
      </c>
      <c r="N234" s="207"/>
      <c r="O234" s="208"/>
      <c r="P234" s="206">
        <f>SUMIF('PB6'!$J$3:$J$201,"D6.6.1-Equipment",'PB6'!$I$3:$I$201)</f>
        <v>0</v>
      </c>
      <c r="Q234" s="207"/>
      <c r="R234" s="208"/>
      <c r="S234" s="206">
        <f>SUMIF('PB6'!$J$3:$J$201,"D6.6.1-Infrastructure and Works",'PB6'!$I$3:$I$201)</f>
        <v>0</v>
      </c>
      <c r="T234" s="207"/>
      <c r="U234" s="208"/>
      <c r="V234" s="201">
        <f t="shared" si="5"/>
        <v>0</v>
      </c>
      <c r="W234" s="202"/>
      <c r="X234" s="202"/>
    </row>
    <row r="235" spans="1:24">
      <c r="A235" s="210" t="s">
        <v>241</v>
      </c>
      <c r="B235" s="210" t="s">
        <v>59</v>
      </c>
      <c r="C235" s="210" t="s">
        <v>59</v>
      </c>
      <c r="D235" s="206">
        <f>SUMIF('PB6'!$J$3:$J$201,"D6.6.2-Staff Costs",'PB6'!$I$3:$I$201)</f>
        <v>0</v>
      </c>
      <c r="E235" s="207"/>
      <c r="F235" s="208"/>
      <c r="G235" s="206">
        <f>SUMIF('PB6'!$J$3:$J$201,"D6.6.2-Office and Administration",'PB6'!$I$3:$I$201)</f>
        <v>0</v>
      </c>
      <c r="H235" s="207"/>
      <c r="I235" s="208"/>
      <c r="J235" s="206">
        <f>SUMIF('PB6'!$J$3:$J$201,"D6.6.2-Travel and Accommodation",'PB6'!$I$3:$I$201)</f>
        <v>0</v>
      </c>
      <c r="K235" s="207"/>
      <c r="L235" s="208"/>
      <c r="M235" s="206">
        <f>SUMIF('PB6'!$J$3:$J$201,"D6.6.2-External Expertise and Services",'PB6'!$I$3:$I$201)</f>
        <v>0</v>
      </c>
      <c r="N235" s="207"/>
      <c r="O235" s="208"/>
      <c r="P235" s="206">
        <f>SUMIF('PB6'!$J$3:$J$201,"D6.6.2-Equipment",'PB6'!$I$3:$I$201)</f>
        <v>0</v>
      </c>
      <c r="Q235" s="207"/>
      <c r="R235" s="208"/>
      <c r="S235" s="206">
        <f>SUMIF('PB6'!$J$3:$J$201,"D6.6.2-Infrastructure and Works",'PB6'!$I$3:$I$201)</f>
        <v>0</v>
      </c>
      <c r="T235" s="207"/>
      <c r="U235" s="208"/>
      <c r="V235" s="201">
        <f t="shared" si="5"/>
        <v>0</v>
      </c>
      <c r="W235" s="202"/>
      <c r="X235" s="202"/>
    </row>
    <row r="236" spans="1:24">
      <c r="A236" s="210" t="s">
        <v>247</v>
      </c>
      <c r="B236" s="210" t="s">
        <v>60</v>
      </c>
      <c r="C236" s="210" t="s">
        <v>60</v>
      </c>
      <c r="D236" s="206">
        <f>SUMIF('PB6'!$J$3:$J$201,"D6.6.3-Staff Costs",'PB6'!$I$3:$I$201)</f>
        <v>0</v>
      </c>
      <c r="E236" s="207"/>
      <c r="F236" s="208"/>
      <c r="G236" s="206">
        <f>SUMIF('PB6'!$J$3:$J$201,"D6.6.3-Office and Administration",'PB6'!$I$3:$I$201)</f>
        <v>0</v>
      </c>
      <c r="H236" s="207"/>
      <c r="I236" s="208"/>
      <c r="J236" s="206">
        <f>SUMIF('PB6'!$J$3:$J$201,"D6.6.3-Travel and Accommodation",'PB6'!$I$3:$I$201)</f>
        <v>0</v>
      </c>
      <c r="K236" s="207"/>
      <c r="L236" s="208"/>
      <c r="M236" s="206">
        <f>SUMIF('PB6'!$J$3:$J$201,"D6.6.3-External Expertise and Services",'PB6'!$I$3:$I$201)</f>
        <v>0</v>
      </c>
      <c r="N236" s="207"/>
      <c r="O236" s="208"/>
      <c r="P236" s="206">
        <f>SUMIF('PB6'!$J$3:$J$201,"D6.6.3-Equipment",'PB6'!$I$3:$I$201)</f>
        <v>0</v>
      </c>
      <c r="Q236" s="207"/>
      <c r="R236" s="208"/>
      <c r="S236" s="206">
        <f>SUMIF('PB6'!$J$3:$J$201,"D6.6.3-Infrastructure and Works",'PB6'!$I$3:$I$201)</f>
        <v>0</v>
      </c>
      <c r="T236" s="207"/>
      <c r="U236" s="208"/>
      <c r="V236" s="201">
        <f t="shared" si="5"/>
        <v>0</v>
      </c>
      <c r="W236" s="202"/>
      <c r="X236" s="202"/>
    </row>
    <row r="237" spans="1:24">
      <c r="A237" s="210" t="s">
        <v>253</v>
      </c>
      <c r="B237" s="210" t="s">
        <v>61</v>
      </c>
      <c r="C237" s="210" t="s">
        <v>61</v>
      </c>
      <c r="D237" s="206">
        <f>SUMIF('PB6'!$J$3:$J$201,"D6.6.4-Staff Costs",'PB6'!$I$3:$I$201)</f>
        <v>0</v>
      </c>
      <c r="E237" s="207"/>
      <c r="F237" s="208"/>
      <c r="G237" s="206">
        <f>SUMIF('PB6'!$J$3:$J$201,"D6.6.4-Office and Administration",'PB6'!$I$3:$I$201)</f>
        <v>0</v>
      </c>
      <c r="H237" s="207"/>
      <c r="I237" s="208"/>
      <c r="J237" s="206">
        <f>SUMIF('PB6'!$J$3:$J$201,"D6.6.4-Travel and Accommodation",'PB6'!$I$3:$I$201)</f>
        <v>0</v>
      </c>
      <c r="K237" s="207"/>
      <c r="L237" s="208"/>
      <c r="M237" s="206">
        <f>SUMIF('PB6'!$J$3:$J$201,"D6.6.4-External Expertise and Services",'PB6'!$I$3:$I$201)</f>
        <v>0</v>
      </c>
      <c r="N237" s="207"/>
      <c r="O237" s="208"/>
      <c r="P237" s="206">
        <f>SUMIF('PB6'!$J$3:$J$201,"D6.6.4-Equipment",'PB6'!$I$3:$I$201)</f>
        <v>0</v>
      </c>
      <c r="Q237" s="207"/>
      <c r="R237" s="208"/>
      <c r="S237" s="206">
        <f>SUMIF('PB6'!$J$3:$J$201,"D6.6.4-Infrastructure and Works",'PB6'!$I$3:$I$201)</f>
        <v>0</v>
      </c>
      <c r="T237" s="207"/>
      <c r="U237" s="208"/>
      <c r="V237" s="201">
        <f t="shared" si="5"/>
        <v>0</v>
      </c>
      <c r="W237" s="202"/>
      <c r="X237" s="202"/>
    </row>
    <row r="238" spans="1:24">
      <c r="A238" s="210" t="s">
        <v>259</v>
      </c>
      <c r="B238" s="210"/>
      <c r="C238" s="210"/>
      <c r="D238" s="206">
        <f>SUMIF('PB6'!$J$3:$J$201,"D6.6.5-Staff Costs",'PB6'!$I$3:$I$201)</f>
        <v>0</v>
      </c>
      <c r="E238" s="207"/>
      <c r="F238" s="208"/>
      <c r="G238" s="206">
        <f>SUMIF('PB6'!$J$3:$J$201,"D6.6.5-Office and Administration",'PB6'!$I$3:$I$201)</f>
        <v>0</v>
      </c>
      <c r="H238" s="207"/>
      <c r="I238" s="208"/>
      <c r="J238" s="206">
        <f>SUMIF('PB6'!$J$3:$J$201,"D6.6.5-Travel and Accommodation",'PB6'!$I$3:$I$201)</f>
        <v>0</v>
      </c>
      <c r="K238" s="207"/>
      <c r="L238" s="208"/>
      <c r="M238" s="206">
        <f>SUMIF('PB6'!$J$3:$J$201,"D6.6.5-External Expertise and Services",'PB6'!$I$3:$I$201)</f>
        <v>0</v>
      </c>
      <c r="N238" s="207"/>
      <c r="O238" s="208"/>
      <c r="P238" s="206">
        <f>SUMIF('PB6'!$J$3:$J$201,"D6.6.5-Equipment",'PB6'!$I$3:$I$201)</f>
        <v>0</v>
      </c>
      <c r="Q238" s="207"/>
      <c r="R238" s="208"/>
      <c r="S238" s="206">
        <f>SUMIF('PB6'!$J$3:$J$201,"D6.6.5-Infrastructure and Works",'PB6'!$I$3:$I$201)</f>
        <v>0</v>
      </c>
      <c r="T238" s="207"/>
      <c r="U238" s="208"/>
      <c r="V238" s="201">
        <f t="shared" si="5"/>
        <v>0</v>
      </c>
      <c r="W238" s="202"/>
      <c r="X238" s="202"/>
    </row>
    <row r="239" spans="1:24">
      <c r="A239" s="221" t="s">
        <v>423</v>
      </c>
      <c r="B239" s="221"/>
      <c r="C239" s="221"/>
      <c r="D239" s="224">
        <f>D233+D227+D221+D215+D209+D203</f>
        <v>0</v>
      </c>
      <c r="E239" s="225"/>
      <c r="F239" s="226"/>
      <c r="G239" s="224">
        <f>G233+G227+G221+G215+G209+G203</f>
        <v>0</v>
      </c>
      <c r="H239" s="225"/>
      <c r="I239" s="226"/>
      <c r="J239" s="224">
        <f>J233+J227+J221+J215+J209+J203</f>
        <v>0</v>
      </c>
      <c r="K239" s="225"/>
      <c r="L239" s="226"/>
      <c r="M239" s="224">
        <f>M233+M227+M221+M215+M209+M203</f>
        <v>0</v>
      </c>
      <c r="N239" s="225"/>
      <c r="O239" s="226"/>
      <c r="P239" s="224">
        <f>P233+P227+P221+P215+P209+P203</f>
        <v>0</v>
      </c>
      <c r="Q239" s="225"/>
      <c r="R239" s="226"/>
      <c r="S239" s="224">
        <f>S233+S227+S221+S215+S209+S203</f>
        <v>0</v>
      </c>
      <c r="T239" s="225"/>
      <c r="U239" s="226"/>
      <c r="V239" s="222">
        <f t="shared" si="5"/>
        <v>0</v>
      </c>
      <c r="W239" s="223"/>
      <c r="X239" s="201"/>
    </row>
    <row r="240" spans="1:24"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8"/>
      <c r="W240" s="48"/>
      <c r="X240" s="48"/>
    </row>
    <row r="241" spans="1:24" ht="15" customHeight="1">
      <c r="A241" s="211" t="s">
        <v>501</v>
      </c>
      <c r="B241" s="211"/>
      <c r="C241" s="211"/>
      <c r="D241" s="214" t="s">
        <v>23</v>
      </c>
      <c r="E241" s="215"/>
      <c r="F241" s="216"/>
      <c r="G241" s="214" t="s">
        <v>24</v>
      </c>
      <c r="H241" s="215"/>
      <c r="I241" s="216"/>
      <c r="J241" s="214" t="s">
        <v>474</v>
      </c>
      <c r="K241" s="215"/>
      <c r="L241" s="216"/>
      <c r="M241" s="214" t="s">
        <v>25</v>
      </c>
      <c r="N241" s="215"/>
      <c r="O241" s="216"/>
      <c r="P241" s="214" t="s">
        <v>26</v>
      </c>
      <c r="Q241" s="215"/>
      <c r="R241" s="216"/>
      <c r="S241" s="214" t="s">
        <v>406</v>
      </c>
      <c r="T241" s="215"/>
      <c r="U241" s="216"/>
      <c r="V241" s="220" t="s">
        <v>423</v>
      </c>
      <c r="W241" s="220"/>
      <c r="X241" s="220"/>
    </row>
    <row r="242" spans="1:24" ht="48.75" customHeight="1">
      <c r="A242" s="212">
        <f>'Cover page'!C28</f>
        <v>0</v>
      </c>
      <c r="B242" s="212"/>
      <c r="C242" s="212"/>
      <c r="D242" s="217"/>
      <c r="E242" s="218"/>
      <c r="F242" s="219"/>
      <c r="G242" s="217"/>
      <c r="H242" s="218"/>
      <c r="I242" s="219"/>
      <c r="J242" s="217"/>
      <c r="K242" s="218"/>
      <c r="L242" s="219"/>
      <c r="M242" s="217"/>
      <c r="N242" s="218"/>
      <c r="O242" s="219"/>
      <c r="P242" s="217"/>
      <c r="Q242" s="218"/>
      <c r="R242" s="219"/>
      <c r="S242" s="217"/>
      <c r="T242" s="218"/>
      <c r="U242" s="219"/>
      <c r="V242" s="220"/>
      <c r="W242" s="220"/>
      <c r="X242" s="220"/>
    </row>
    <row r="243" spans="1:24">
      <c r="A243" s="213" t="s">
        <v>415</v>
      </c>
      <c r="B243" s="213"/>
      <c r="C243" s="213"/>
      <c r="D243" s="203">
        <f>SUM(D244:D248)</f>
        <v>0</v>
      </c>
      <c r="E243" s="204"/>
      <c r="F243" s="205"/>
      <c r="G243" s="203">
        <f>SUM(G244:G248)</f>
        <v>0</v>
      </c>
      <c r="H243" s="204"/>
      <c r="I243" s="205"/>
      <c r="J243" s="203">
        <f>SUM(J244:J248)</f>
        <v>0</v>
      </c>
      <c r="K243" s="204"/>
      <c r="L243" s="205"/>
      <c r="M243" s="203">
        <f>SUM(M244:M248)</f>
        <v>0</v>
      </c>
      <c r="N243" s="204"/>
      <c r="O243" s="205"/>
      <c r="P243" s="203">
        <f>SUM(P244:P248)</f>
        <v>0</v>
      </c>
      <c r="Q243" s="204"/>
      <c r="R243" s="205"/>
      <c r="S243" s="203">
        <f>SUM(S244:S248)</f>
        <v>0</v>
      </c>
      <c r="T243" s="204"/>
      <c r="U243" s="205"/>
      <c r="V243" s="199">
        <f t="shared" ref="V243:V279" si="6">SUM(D243:S243)</f>
        <v>0</v>
      </c>
      <c r="W243" s="200"/>
      <c r="X243" s="200"/>
    </row>
    <row r="244" spans="1:24">
      <c r="A244" s="210" t="s">
        <v>266</v>
      </c>
      <c r="B244" s="210"/>
      <c r="C244" s="210"/>
      <c r="D244" s="206">
        <f>SUMIF('PB7'!$J$3:$J$201,"D1.7.1-Staff Costs",'PB7'!$I$3:$I$201)</f>
        <v>0</v>
      </c>
      <c r="E244" s="207"/>
      <c r="F244" s="208"/>
      <c r="G244" s="206">
        <f>SUMIF('PB7'!$J$3:$J$201,"D1.7.1-Office and Administration",'PB7'!$I$3:$I$201)</f>
        <v>0</v>
      </c>
      <c r="H244" s="207"/>
      <c r="I244" s="208"/>
      <c r="J244" s="206">
        <f>SUMIF('PB7'!$J$3:$J$201,"D1.7.1-Travel and Accommodation",'PB7'!$I$3:$I$201)</f>
        <v>0</v>
      </c>
      <c r="K244" s="207"/>
      <c r="L244" s="208"/>
      <c r="M244" s="206">
        <f>SUMIF('PB7'!$J$3:$J$201,"D1.7.1-External Expertise and Services",'PB7'!$I$3:$I$201)</f>
        <v>0</v>
      </c>
      <c r="N244" s="207"/>
      <c r="O244" s="208"/>
      <c r="P244" s="206">
        <f>SUMIF('PB7'!$J$3:$J$201,"D1.7.1-Equipment",'PB7'!$I$3:$I$201)</f>
        <v>0</v>
      </c>
      <c r="Q244" s="207"/>
      <c r="R244" s="208"/>
      <c r="S244" s="206">
        <f>SUMIF('PB7'!$J$3:$J$201,"D1.7.1-Infrastructure and Works",'PB7'!$I$3:$I$201)</f>
        <v>0</v>
      </c>
      <c r="T244" s="207"/>
      <c r="U244" s="208"/>
      <c r="V244" s="201">
        <f t="shared" si="6"/>
        <v>0</v>
      </c>
      <c r="W244" s="202"/>
      <c r="X244" s="202"/>
    </row>
    <row r="245" spans="1:24">
      <c r="A245" s="210" t="s">
        <v>272</v>
      </c>
      <c r="B245" s="210"/>
      <c r="C245" s="210"/>
      <c r="D245" s="206">
        <f>SUMIF('PB7'!$J$3:$J$201,"D1.7.2-Staff Costs",'PB7'!$I$3:$I$201)</f>
        <v>0</v>
      </c>
      <c r="E245" s="207"/>
      <c r="F245" s="208"/>
      <c r="G245" s="206">
        <f>SUMIF('PB7'!$J$3:$J$201,"D1.7.2-Office and Administration",'PB7'!$I$3:$I$201)</f>
        <v>0</v>
      </c>
      <c r="H245" s="207"/>
      <c r="I245" s="208"/>
      <c r="J245" s="206">
        <f>SUMIF('PB7'!$J$3:$J$201,"D1.7.2-Travel and Accommodation",'PB7'!$I$3:$I$201)</f>
        <v>0</v>
      </c>
      <c r="K245" s="207"/>
      <c r="L245" s="208"/>
      <c r="M245" s="206">
        <f>SUMIF('PB7'!$J$3:$J$201,"D1.7.2-External Expertise and Services",'PB7'!$I$3:$I$201)</f>
        <v>0</v>
      </c>
      <c r="N245" s="207"/>
      <c r="O245" s="208"/>
      <c r="P245" s="206">
        <f>SUMIF('PB7'!$J$3:$J$201,"D1.7.2-Equipment",'PB7'!$I$3:$I$201)</f>
        <v>0</v>
      </c>
      <c r="Q245" s="207"/>
      <c r="R245" s="208"/>
      <c r="S245" s="206">
        <f>SUMIF('PB7'!$J$3:$J$201,"D1.7.2-Infrastructure and Works",'PB7'!$I$3:$I$201)</f>
        <v>0</v>
      </c>
      <c r="T245" s="207"/>
      <c r="U245" s="208"/>
      <c r="V245" s="201">
        <f t="shared" si="6"/>
        <v>0</v>
      </c>
      <c r="W245" s="202"/>
      <c r="X245" s="202"/>
    </row>
    <row r="246" spans="1:24">
      <c r="A246" s="210" t="s">
        <v>278</v>
      </c>
      <c r="B246" s="210" t="s">
        <v>35</v>
      </c>
      <c r="C246" s="210" t="s">
        <v>35</v>
      </c>
      <c r="D246" s="206">
        <f>SUMIF('PB7'!$J$3:$J$201,"D1.7.3-Staff Costs",'PB7'!$I$3:$I$201)</f>
        <v>0</v>
      </c>
      <c r="E246" s="207"/>
      <c r="F246" s="208"/>
      <c r="G246" s="206">
        <f>SUMIF('PB7'!$J$3:$J$201,"D1.7.3-Office and Administration",'PB7'!$I$3:$I$201)</f>
        <v>0</v>
      </c>
      <c r="H246" s="207"/>
      <c r="I246" s="208"/>
      <c r="J246" s="206">
        <f>SUMIF('PB7'!$J$3:$J$201,"D1.7.3-Travel and Accommodation",'PB7'!$I$3:$I$201)</f>
        <v>0</v>
      </c>
      <c r="K246" s="207"/>
      <c r="L246" s="208"/>
      <c r="M246" s="206">
        <f>SUMIF('PB7'!$J$3:$J$201,"D1.7.3-External Expertise and Services",'PB7'!$I$3:$I$201)</f>
        <v>0</v>
      </c>
      <c r="N246" s="207"/>
      <c r="O246" s="208"/>
      <c r="P246" s="206">
        <f>SUMIF('PB7'!$J$3:$J$201,"D1.7.3-Equipment",'PB7'!$I$3:$I$201)</f>
        <v>0</v>
      </c>
      <c r="Q246" s="207"/>
      <c r="R246" s="208"/>
      <c r="S246" s="206">
        <f>SUMIF('PB7'!$J$3:$J$201,"D1.7.3-Infrastructure and Works",'PB7'!$I$3:$I$201)</f>
        <v>0</v>
      </c>
      <c r="T246" s="207"/>
      <c r="U246" s="208"/>
      <c r="V246" s="201">
        <f t="shared" si="6"/>
        <v>0</v>
      </c>
      <c r="W246" s="202"/>
      <c r="X246" s="202"/>
    </row>
    <row r="247" spans="1:24">
      <c r="A247" s="210" t="s">
        <v>284</v>
      </c>
      <c r="B247" s="210" t="s">
        <v>36</v>
      </c>
      <c r="C247" s="210" t="s">
        <v>36</v>
      </c>
      <c r="D247" s="206">
        <f>SUMIF('PB7'!$J$3:$J$201,"D1.7.4-Staff Costs",'PB7'!$I$3:$I$201)</f>
        <v>0</v>
      </c>
      <c r="E247" s="207"/>
      <c r="F247" s="208"/>
      <c r="G247" s="206">
        <f>SUMIF('PB7'!$J$3:$J$201,"D1.7.4-Office and Administration",'PB7'!$I$3:$I$201)</f>
        <v>0</v>
      </c>
      <c r="H247" s="207"/>
      <c r="I247" s="208"/>
      <c r="J247" s="206">
        <f>SUMIF('PB7'!$J$3:$J$201,"D1.7.4-Travel and Accommodation",'PB7'!$I$3:$I$201)</f>
        <v>0</v>
      </c>
      <c r="K247" s="207"/>
      <c r="L247" s="208"/>
      <c r="M247" s="206">
        <f>SUMIF('PB7'!$J$3:$J$201,"D1.7.4-External Expertise and Services",'PB7'!$I$3:$I$201)</f>
        <v>0</v>
      </c>
      <c r="N247" s="207"/>
      <c r="O247" s="208"/>
      <c r="P247" s="206">
        <f>SUMIF('PB7'!$J$3:$J$201,"D1.7.4-Equipment",'PB7'!$I$3:$I$201)</f>
        <v>0</v>
      </c>
      <c r="Q247" s="207"/>
      <c r="R247" s="208"/>
      <c r="S247" s="206">
        <f>SUMIF('PB7'!$J$3:$J$201,"D1.7.4-Infrastructure and Works",'PB7'!$I$3:$I$201)</f>
        <v>0</v>
      </c>
      <c r="T247" s="207"/>
      <c r="U247" s="208"/>
      <c r="V247" s="201">
        <f t="shared" si="6"/>
        <v>0</v>
      </c>
      <c r="W247" s="202"/>
      <c r="X247" s="202"/>
    </row>
    <row r="248" spans="1:24">
      <c r="A248" s="210" t="s">
        <v>290</v>
      </c>
      <c r="B248" s="210" t="s">
        <v>37</v>
      </c>
      <c r="C248" s="210" t="s">
        <v>37</v>
      </c>
      <c r="D248" s="206">
        <f>SUMIF('PB7'!$J$3:$J$201,"D1.7.5-Staff Costs",'PB7'!$I$3:$I$201)</f>
        <v>0</v>
      </c>
      <c r="E248" s="207"/>
      <c r="F248" s="208"/>
      <c r="G248" s="206">
        <f>SUMIF('PB7'!$J$3:$J$201,"D1.7.5-Office and Administration",'PB7'!$I$3:$I$201)</f>
        <v>0</v>
      </c>
      <c r="H248" s="207"/>
      <c r="I248" s="208"/>
      <c r="J248" s="206">
        <f>SUMIF('PB7'!$J$3:$J$201,"D1.7.5-Travel and Accommodation",'PB7'!$I$3:$I$201)</f>
        <v>0</v>
      </c>
      <c r="K248" s="207"/>
      <c r="L248" s="208"/>
      <c r="M248" s="206">
        <f>SUMIF('PB7'!$J$3:$J$201,"D1.7.5-External Expertise and Services",'PB7'!$I$3:$I$201)</f>
        <v>0</v>
      </c>
      <c r="N248" s="207"/>
      <c r="O248" s="208"/>
      <c r="P248" s="206">
        <f>SUMIF('PB7'!$J$3:$J$201,"D1.7.5-Equipment",'PB7'!$I$3:$I$201)</f>
        <v>0</v>
      </c>
      <c r="Q248" s="207"/>
      <c r="R248" s="208"/>
      <c r="S248" s="206">
        <f>SUMIF('PB7'!$J$3:$J$201,"D1.7.5-Infrastructure and Works",'PB7'!$I$3:$I$201)</f>
        <v>0</v>
      </c>
      <c r="T248" s="207"/>
      <c r="U248" s="208"/>
      <c r="V248" s="201">
        <f t="shared" si="6"/>
        <v>0</v>
      </c>
      <c r="W248" s="202"/>
      <c r="X248" s="202"/>
    </row>
    <row r="249" spans="1:24">
      <c r="A249" s="213" t="s">
        <v>416</v>
      </c>
      <c r="B249" s="213"/>
      <c r="C249" s="213"/>
      <c r="D249" s="203">
        <f>SUM(D250:D254)</f>
        <v>0</v>
      </c>
      <c r="E249" s="204"/>
      <c r="F249" s="205"/>
      <c r="G249" s="203">
        <f>SUM(G250:G254)</f>
        <v>0</v>
      </c>
      <c r="H249" s="204"/>
      <c r="I249" s="205"/>
      <c r="J249" s="203">
        <f>SUM(J250:J254)</f>
        <v>0</v>
      </c>
      <c r="K249" s="204"/>
      <c r="L249" s="205"/>
      <c r="M249" s="203">
        <f>SUM(M250:M254)</f>
        <v>0</v>
      </c>
      <c r="N249" s="204"/>
      <c r="O249" s="205"/>
      <c r="P249" s="203">
        <f>SUM(P250:P254)</f>
        <v>0</v>
      </c>
      <c r="Q249" s="204"/>
      <c r="R249" s="205"/>
      <c r="S249" s="203">
        <f>SUM(S250:S254)</f>
        <v>0</v>
      </c>
      <c r="T249" s="204"/>
      <c r="U249" s="205"/>
      <c r="V249" s="199">
        <f t="shared" si="6"/>
        <v>0</v>
      </c>
      <c r="W249" s="200"/>
      <c r="X249" s="200"/>
    </row>
    <row r="250" spans="1:24">
      <c r="A250" s="210" t="s">
        <v>267</v>
      </c>
      <c r="B250" s="210" t="s">
        <v>38</v>
      </c>
      <c r="C250" s="210" t="s">
        <v>38</v>
      </c>
      <c r="D250" s="206">
        <f>SUMIF('PB7'!$J$3:$J$201,"D2.7.1-Staff Costs",'PB7'!$I$3:$I$201)</f>
        <v>0</v>
      </c>
      <c r="E250" s="207"/>
      <c r="F250" s="208"/>
      <c r="G250" s="206">
        <f>SUMIF('PB7'!$J$3:$J$201,"D2.7.1-Office and Administration",'PB7'!$I$3:$I$201)</f>
        <v>0</v>
      </c>
      <c r="H250" s="207"/>
      <c r="I250" s="208"/>
      <c r="J250" s="206">
        <f>SUMIF('PB7'!$J$3:$J$201,"D2.7.1-Travel and Accommodation",'PB7'!$I$3:$I$201)</f>
        <v>0</v>
      </c>
      <c r="K250" s="207"/>
      <c r="L250" s="208"/>
      <c r="M250" s="206">
        <f>SUMIF('PB7'!$J$3:$J$201,"D2.7.1-External Expertise and Services",'PB7'!$I$3:$I$201)</f>
        <v>0</v>
      </c>
      <c r="N250" s="207"/>
      <c r="O250" s="208"/>
      <c r="P250" s="206">
        <f>SUMIF('PB7'!$J$3:$J$201,"D2.7.1-Equipment",'PB7'!$I$3:$I$201)</f>
        <v>0</v>
      </c>
      <c r="Q250" s="207"/>
      <c r="R250" s="208"/>
      <c r="S250" s="206">
        <f>SUMIF('PB7'!$J$3:$J$201,"D2.7.1-Infrastructure and Works",'PB7'!$I$3:$I$201)</f>
        <v>0</v>
      </c>
      <c r="T250" s="207"/>
      <c r="U250" s="208"/>
      <c r="V250" s="201">
        <f t="shared" si="6"/>
        <v>0</v>
      </c>
      <c r="W250" s="202"/>
      <c r="X250" s="202"/>
    </row>
    <row r="251" spans="1:24">
      <c r="A251" s="210" t="s">
        <v>273</v>
      </c>
      <c r="B251" s="210" t="s">
        <v>39</v>
      </c>
      <c r="C251" s="210" t="s">
        <v>39</v>
      </c>
      <c r="D251" s="206">
        <f>SUMIF('PB7'!$J$3:$J$201,"D2.7.2-Staff Costs",'PB7'!$I$3:$I$201)</f>
        <v>0</v>
      </c>
      <c r="E251" s="207"/>
      <c r="F251" s="208"/>
      <c r="G251" s="206">
        <f>SUMIF('PB7'!$J$3:$J$201,"D2.7.2-Office and Administration",'PB7'!$I$3:$I$201)</f>
        <v>0</v>
      </c>
      <c r="H251" s="207"/>
      <c r="I251" s="208"/>
      <c r="J251" s="206">
        <f>SUMIF('PB7'!$J$3:$J$201,"D2.7.2-Travel and Accommodation",'PB7'!$I$3:$I$201)</f>
        <v>0</v>
      </c>
      <c r="K251" s="207"/>
      <c r="L251" s="208"/>
      <c r="M251" s="206">
        <f>SUMIF('PB7'!$J$3:$J$201,"D2.7.2-External Expertise and Services",'PB7'!$I$3:$I$201)</f>
        <v>0</v>
      </c>
      <c r="N251" s="207"/>
      <c r="O251" s="208"/>
      <c r="P251" s="206">
        <f>SUMIF('PB7'!$J$3:$J$201,"D2.7.2-Equipment",'PB7'!$I$3:$I$201)</f>
        <v>0</v>
      </c>
      <c r="Q251" s="207"/>
      <c r="R251" s="208"/>
      <c r="S251" s="206">
        <f>SUMIF('PB7'!$J$3:$J$201,"D2.7.2-Infrastructure and Works",'PB7'!$I$3:$I$201)</f>
        <v>0</v>
      </c>
      <c r="T251" s="207"/>
      <c r="U251" s="208"/>
      <c r="V251" s="201">
        <f t="shared" si="6"/>
        <v>0</v>
      </c>
      <c r="W251" s="202"/>
      <c r="X251" s="202"/>
    </row>
    <row r="252" spans="1:24">
      <c r="A252" s="210" t="s">
        <v>279</v>
      </c>
      <c r="B252" s="210" t="s">
        <v>40</v>
      </c>
      <c r="C252" s="210" t="s">
        <v>40</v>
      </c>
      <c r="D252" s="206">
        <f>SUMIF('PB7'!$J$3:$J$201,"D2.7.3-Staff Costs",'PB7'!$I$3:$I$201)</f>
        <v>0</v>
      </c>
      <c r="E252" s="207"/>
      <c r="F252" s="208"/>
      <c r="G252" s="206">
        <f>SUMIF('PB7'!$J$3:$J$201,"D2.7.3-Office and Administration",'PB7'!$I$3:$I$201)</f>
        <v>0</v>
      </c>
      <c r="H252" s="207"/>
      <c r="I252" s="208"/>
      <c r="J252" s="206">
        <f>SUMIF('PB7'!$J$3:$J$201,"D2.7.3-Travel and Accommodation",'PB7'!$I$3:$I$201)</f>
        <v>0</v>
      </c>
      <c r="K252" s="207"/>
      <c r="L252" s="208"/>
      <c r="M252" s="206">
        <f>SUMIF('PB7'!$J$3:$J$201,"D2.7.3-External Expertise and Services",'PB7'!$I$3:$I$201)</f>
        <v>0</v>
      </c>
      <c r="N252" s="207"/>
      <c r="O252" s="208"/>
      <c r="P252" s="206">
        <f>SUMIF('PB7'!$J$3:$J$201,"D2.7.3-Equipment",'PB7'!$I$3:$I$201)</f>
        <v>0</v>
      </c>
      <c r="Q252" s="207"/>
      <c r="R252" s="208"/>
      <c r="S252" s="206">
        <f>SUMIF('PB7'!$J$3:$J$201,"D2.7.3-Infrastructure and Works",'PB7'!$I$3:$I$201)</f>
        <v>0</v>
      </c>
      <c r="T252" s="207"/>
      <c r="U252" s="208"/>
      <c r="V252" s="201">
        <f t="shared" si="6"/>
        <v>0</v>
      </c>
      <c r="W252" s="202"/>
      <c r="X252" s="202"/>
    </row>
    <row r="253" spans="1:24">
      <c r="A253" s="210" t="s">
        <v>285</v>
      </c>
      <c r="B253" s="210" t="s">
        <v>41</v>
      </c>
      <c r="C253" s="210" t="s">
        <v>41</v>
      </c>
      <c r="D253" s="206">
        <f>SUMIF('PB7'!$J$3:$J$201,"D2.7.4-Staff Costs",'PB7'!$I$3:$I$201)</f>
        <v>0</v>
      </c>
      <c r="E253" s="207"/>
      <c r="F253" s="208"/>
      <c r="G253" s="206">
        <f>SUMIF('PB7'!$J$3:$J$201,"D2.7.4-Office and Administration",'PB7'!$I$3:$I$201)</f>
        <v>0</v>
      </c>
      <c r="H253" s="207"/>
      <c r="I253" s="208"/>
      <c r="J253" s="206">
        <f>SUMIF('PB7'!$J$3:$J$201,"D2.7.4-Travel and Accommodation",'PB7'!$I$3:$I$201)</f>
        <v>0</v>
      </c>
      <c r="K253" s="207"/>
      <c r="L253" s="208"/>
      <c r="M253" s="206">
        <f>SUMIF('PB7'!$J$3:$J$201,"D2.7.4-External Expertise and Services",'PB7'!$I$3:$I$201)</f>
        <v>0</v>
      </c>
      <c r="N253" s="207"/>
      <c r="O253" s="208"/>
      <c r="P253" s="206">
        <f>SUMIF('PB7'!$J$3:$J$201,"D2.7.4-Equipment",'PB7'!$I$3:$I$201)</f>
        <v>0</v>
      </c>
      <c r="Q253" s="207"/>
      <c r="R253" s="208"/>
      <c r="S253" s="206">
        <f>SUMIF('PB7'!$J$3:$J$201,"D2.7.4-Infrastructure and Works",'PB7'!$I$3:$I$201)</f>
        <v>0</v>
      </c>
      <c r="T253" s="207"/>
      <c r="U253" s="208"/>
      <c r="V253" s="201">
        <f t="shared" si="6"/>
        <v>0</v>
      </c>
      <c r="W253" s="202"/>
      <c r="X253" s="202"/>
    </row>
    <row r="254" spans="1:24">
      <c r="A254" s="210" t="s">
        <v>291</v>
      </c>
      <c r="B254" s="210" t="s">
        <v>42</v>
      </c>
      <c r="C254" s="210" t="s">
        <v>42</v>
      </c>
      <c r="D254" s="206">
        <f>SUMIF('PB7'!$J$3:$J$201,"D2.7.5-Staff Costs",'PB7'!$I$3:$I$201)</f>
        <v>0</v>
      </c>
      <c r="E254" s="207"/>
      <c r="F254" s="208"/>
      <c r="G254" s="206">
        <f>SUMIF('PB7'!$J$3:$J$201,"D2.7.5-Office and Administration",'PB7'!$I$3:$I$201)</f>
        <v>0</v>
      </c>
      <c r="H254" s="207"/>
      <c r="I254" s="208"/>
      <c r="J254" s="206">
        <f>SUMIF('PB7'!$J$3:$J$201,"D2.7.5-Travel and Accommodation",'PB7'!$I$3:$I$201)</f>
        <v>0</v>
      </c>
      <c r="K254" s="207"/>
      <c r="L254" s="208"/>
      <c r="M254" s="206">
        <f>SUMIF('PB7'!$J$3:$J$201,"D2.7.5-External Expertise and Services",'PB7'!$I$3:$I$201)</f>
        <v>0</v>
      </c>
      <c r="N254" s="207"/>
      <c r="O254" s="208"/>
      <c r="P254" s="206">
        <f>SUMIF('PB7'!$J$3:$J$201,"D2.7.5-Equipment",'PB7'!$I$3:$I$201)</f>
        <v>0</v>
      </c>
      <c r="Q254" s="207"/>
      <c r="R254" s="208"/>
      <c r="S254" s="206">
        <f>SUMIF('PB7'!$J$3:$J$201,"D2.7.5-Infrastructure and Works",'PB7'!$I$3:$I$201)</f>
        <v>0</v>
      </c>
      <c r="T254" s="207"/>
      <c r="U254" s="208"/>
      <c r="V254" s="201">
        <f t="shared" si="6"/>
        <v>0</v>
      </c>
      <c r="W254" s="202"/>
      <c r="X254" s="202"/>
    </row>
    <row r="255" spans="1:24">
      <c r="A255" s="213" t="s">
        <v>417</v>
      </c>
      <c r="B255" s="213"/>
      <c r="C255" s="213" t="s">
        <v>418</v>
      </c>
      <c r="D255" s="203">
        <f>SUM(D256:D260)</f>
        <v>0</v>
      </c>
      <c r="E255" s="204"/>
      <c r="F255" s="205"/>
      <c r="G255" s="203">
        <f>SUM(G256:G260)</f>
        <v>0</v>
      </c>
      <c r="H255" s="204"/>
      <c r="I255" s="205"/>
      <c r="J255" s="203">
        <f>SUM(J256:J260)</f>
        <v>0</v>
      </c>
      <c r="K255" s="204"/>
      <c r="L255" s="205"/>
      <c r="M255" s="203">
        <f>SUM(M256:M260)</f>
        <v>0</v>
      </c>
      <c r="N255" s="204"/>
      <c r="O255" s="205"/>
      <c r="P255" s="203">
        <f>SUM(P256:P260)</f>
        <v>0</v>
      </c>
      <c r="Q255" s="204"/>
      <c r="R255" s="205"/>
      <c r="S255" s="203">
        <f>SUM(S256:S260)</f>
        <v>0</v>
      </c>
      <c r="T255" s="204"/>
      <c r="U255" s="205"/>
      <c r="V255" s="199">
        <f t="shared" si="6"/>
        <v>0</v>
      </c>
      <c r="W255" s="200"/>
      <c r="X255" s="200"/>
    </row>
    <row r="256" spans="1:24">
      <c r="A256" s="210" t="s">
        <v>268</v>
      </c>
      <c r="B256" s="210" t="s">
        <v>43</v>
      </c>
      <c r="C256" s="210" t="s">
        <v>43</v>
      </c>
      <c r="D256" s="206">
        <f>SUMIF('PB7'!$J$3:$J$201,"D3.7.1-Staff Costs",'PB7'!$I$3:$I$201)</f>
        <v>0</v>
      </c>
      <c r="E256" s="207"/>
      <c r="F256" s="208"/>
      <c r="G256" s="206">
        <f>SUMIF('PB7'!$J$3:$J$201,"D3.7.1-Office and Administration",'PB7'!$I$3:$I$201)</f>
        <v>0</v>
      </c>
      <c r="H256" s="207"/>
      <c r="I256" s="208"/>
      <c r="J256" s="206">
        <f>SUMIF('PB7'!$J$3:$J$201,"D3.7.1-Travel and Accommodation",'PB7'!$I$3:$I$201)</f>
        <v>0</v>
      </c>
      <c r="K256" s="207"/>
      <c r="L256" s="208"/>
      <c r="M256" s="206">
        <f>SUMIF('PB7'!$J$3:$J$201,"D3.7.1-External Expertise and Services",'PB7'!$I$3:$I$201)</f>
        <v>0</v>
      </c>
      <c r="N256" s="207"/>
      <c r="O256" s="208"/>
      <c r="P256" s="206">
        <f>SUMIF('PB7'!$J$3:$J$201,"D3.7.1-Equipment",'PB7'!$I$3:$I$201)</f>
        <v>0</v>
      </c>
      <c r="Q256" s="207"/>
      <c r="R256" s="208"/>
      <c r="S256" s="206">
        <f>SUMIF('PB7'!$J$3:$J$201,"D3.7.1-Infrastructure and Works",'PB7'!$I$3:$I$201)</f>
        <v>0</v>
      </c>
      <c r="T256" s="207"/>
      <c r="U256" s="208"/>
      <c r="V256" s="201">
        <f t="shared" si="6"/>
        <v>0</v>
      </c>
      <c r="W256" s="202"/>
      <c r="X256" s="202"/>
    </row>
    <row r="257" spans="1:24">
      <c r="A257" s="210" t="s">
        <v>274</v>
      </c>
      <c r="B257" s="210" t="s">
        <v>44</v>
      </c>
      <c r="C257" s="210" t="s">
        <v>44</v>
      </c>
      <c r="D257" s="206">
        <f>SUMIF('PB7'!$J$3:$J$201,"D3.7.2-Staff Costs",'PB7'!$I$3:$I$201)</f>
        <v>0</v>
      </c>
      <c r="E257" s="207"/>
      <c r="F257" s="208"/>
      <c r="G257" s="206">
        <f>SUMIF('PB7'!$J$3:$J$201,"D3.7.2-Office and Administration",'PB7'!$I$3:$I$201)</f>
        <v>0</v>
      </c>
      <c r="H257" s="207"/>
      <c r="I257" s="208"/>
      <c r="J257" s="206">
        <f>SUMIF('PB7'!$J$3:$J$201,"D3.7.2-Travel and Accommodation",'PB7'!$I$3:$I$201)</f>
        <v>0</v>
      </c>
      <c r="K257" s="207"/>
      <c r="L257" s="208"/>
      <c r="M257" s="206">
        <f>SUMIF('PB7'!$J$3:$J$201,"D3.7.2-External Expertise and Services",'PB7'!$I$3:$I$201)</f>
        <v>0</v>
      </c>
      <c r="N257" s="207"/>
      <c r="O257" s="208"/>
      <c r="P257" s="206">
        <f>SUMIF('PB7'!$J$3:$J$201,"D3.7.2-Equipment",'PB7'!$I$3:$I$201)</f>
        <v>0</v>
      </c>
      <c r="Q257" s="207"/>
      <c r="R257" s="208"/>
      <c r="S257" s="206">
        <f>SUMIF('PB7'!$J$3:$J$201,"D3.7.2-Infrastructure and Works",'PB7'!$I$3:$I$201)</f>
        <v>0</v>
      </c>
      <c r="T257" s="207"/>
      <c r="U257" s="208"/>
      <c r="V257" s="201">
        <f t="shared" si="6"/>
        <v>0</v>
      </c>
      <c r="W257" s="202"/>
      <c r="X257" s="202"/>
    </row>
    <row r="258" spans="1:24">
      <c r="A258" s="210" t="s">
        <v>280</v>
      </c>
      <c r="B258" s="210" t="s">
        <v>45</v>
      </c>
      <c r="C258" s="210" t="s">
        <v>45</v>
      </c>
      <c r="D258" s="206">
        <f>SUMIF('PB7'!$J$3:$J$201,"D3.7.3-Staff Costs",'PB7'!$I$3:$I$201)</f>
        <v>0</v>
      </c>
      <c r="E258" s="207"/>
      <c r="F258" s="208"/>
      <c r="G258" s="206">
        <f>SUMIF('PB7'!$J$3:$J$201,"D3.7.3-Office and Administration",'PB7'!$I$3:$I$201)</f>
        <v>0</v>
      </c>
      <c r="H258" s="207"/>
      <c r="I258" s="208"/>
      <c r="J258" s="206">
        <f>SUMIF('PB7'!$J$3:$J$201,"D3.7.3-Travel and Accommodation",'PB7'!$I$3:$I$201)</f>
        <v>0</v>
      </c>
      <c r="K258" s="207"/>
      <c r="L258" s="208"/>
      <c r="M258" s="206">
        <f>SUMIF('PB7'!$J$3:$J$201,"D3.7.3-External Expertise and Services",'PB7'!$I$3:$I$201)</f>
        <v>0</v>
      </c>
      <c r="N258" s="207"/>
      <c r="O258" s="208"/>
      <c r="P258" s="206">
        <f>SUMIF('PB7'!$J$3:$J$201,"D3.7.3-Equipment",'PB7'!$I$3:$I$201)</f>
        <v>0</v>
      </c>
      <c r="Q258" s="207"/>
      <c r="R258" s="208"/>
      <c r="S258" s="206">
        <f>SUMIF('PB7'!$J$3:$J$201,"D3.7.3-Infrastructure and Works",'PB7'!$I$3:$I$201)</f>
        <v>0</v>
      </c>
      <c r="T258" s="207"/>
      <c r="U258" s="208"/>
      <c r="V258" s="201">
        <f t="shared" si="6"/>
        <v>0</v>
      </c>
      <c r="W258" s="202"/>
      <c r="X258" s="202"/>
    </row>
    <row r="259" spans="1:24">
      <c r="A259" s="210" t="s">
        <v>286</v>
      </c>
      <c r="B259" s="210" t="s">
        <v>46</v>
      </c>
      <c r="C259" s="210" t="s">
        <v>46</v>
      </c>
      <c r="D259" s="206">
        <f>SUMIF('PB7'!$J$3:$J$201,"D3.7.4-Staff Costs",'PB7'!$I$3:$I$201)</f>
        <v>0</v>
      </c>
      <c r="E259" s="207"/>
      <c r="F259" s="208"/>
      <c r="G259" s="206">
        <f>SUMIF('PB7'!$J$3:$J$201,"D3.7.4-Office and Administration",'PB7'!$I$3:$I$201)</f>
        <v>0</v>
      </c>
      <c r="H259" s="207"/>
      <c r="I259" s="208"/>
      <c r="J259" s="206">
        <f>SUMIF('PB7'!$J$3:$J$201,"D3.7.4-Travel and Accommodation",'PB7'!$I$3:$I$201)</f>
        <v>0</v>
      </c>
      <c r="K259" s="207"/>
      <c r="L259" s="208"/>
      <c r="M259" s="206">
        <f>SUMIF('PB7'!$J$3:$J$201,"D3.7.4-External Expertise and Services",'PB7'!$I$3:$I$201)</f>
        <v>0</v>
      </c>
      <c r="N259" s="207"/>
      <c r="O259" s="208"/>
      <c r="P259" s="206">
        <f>SUMIF('PB7'!$J$3:$J$201,"D3.7.4-Equipment",'PB7'!$I$3:$I$201)</f>
        <v>0</v>
      </c>
      <c r="Q259" s="207"/>
      <c r="R259" s="208"/>
      <c r="S259" s="206">
        <f>SUMIF('PB7'!$J$3:$J$201,"D3.7.4-Infrastructure and Works",'PB7'!$I$3:$I$201)</f>
        <v>0</v>
      </c>
      <c r="T259" s="207"/>
      <c r="U259" s="208"/>
      <c r="V259" s="201">
        <f t="shared" si="6"/>
        <v>0</v>
      </c>
      <c r="W259" s="202"/>
      <c r="X259" s="202"/>
    </row>
    <row r="260" spans="1:24">
      <c r="A260" s="210" t="s">
        <v>292</v>
      </c>
      <c r="B260" s="210" t="s">
        <v>47</v>
      </c>
      <c r="C260" s="210" t="s">
        <v>47</v>
      </c>
      <c r="D260" s="206">
        <f>SUMIF('PB7'!$J$3:$J$201,"D3.7.5-Staff Costs",'PB7'!$I$3:$I$201)</f>
        <v>0</v>
      </c>
      <c r="E260" s="207"/>
      <c r="F260" s="208"/>
      <c r="G260" s="206">
        <f>SUMIF('PB7'!$J$3:$J$201,"D3.7.5-Office and Administration",'PB7'!$I$3:$I$201)</f>
        <v>0</v>
      </c>
      <c r="H260" s="207"/>
      <c r="I260" s="208"/>
      <c r="J260" s="206">
        <f>SUMIF('PB7'!$J$3:$J$201,"D3.7.5-Travel and Accommodation",'PB7'!$I$3:$I$201)</f>
        <v>0</v>
      </c>
      <c r="K260" s="207"/>
      <c r="L260" s="208"/>
      <c r="M260" s="206">
        <f>SUMIF('PB7'!$J$3:$J$201,"D3.7.5-External Expertise and Services",'PB7'!$I$3:$I$201)</f>
        <v>0</v>
      </c>
      <c r="N260" s="207"/>
      <c r="O260" s="208"/>
      <c r="P260" s="206">
        <f>SUMIF('PB7'!$J$3:$J$201,"D3.7.5-Equipment",'PB7'!$I$3:$I$201)</f>
        <v>0</v>
      </c>
      <c r="Q260" s="207"/>
      <c r="R260" s="208"/>
      <c r="S260" s="206">
        <f>SUMIF('PB7'!$J$3:$J$201,"D3.7.5-Infrastructure and Works",'PB7'!$I$3:$I$201)</f>
        <v>0</v>
      </c>
      <c r="T260" s="207"/>
      <c r="U260" s="208"/>
      <c r="V260" s="201">
        <f t="shared" si="6"/>
        <v>0</v>
      </c>
      <c r="W260" s="202"/>
      <c r="X260" s="202"/>
    </row>
    <row r="261" spans="1:24">
      <c r="A261" s="213" t="s">
        <v>419</v>
      </c>
      <c r="B261" s="213"/>
      <c r="C261" s="213" t="s">
        <v>418</v>
      </c>
      <c r="D261" s="203">
        <f>SUM(D262:D266)</f>
        <v>0</v>
      </c>
      <c r="E261" s="204"/>
      <c r="F261" s="205"/>
      <c r="G261" s="203">
        <f>SUM(G262:G266)</f>
        <v>0</v>
      </c>
      <c r="H261" s="204"/>
      <c r="I261" s="205"/>
      <c r="J261" s="203">
        <f>SUM(J262:J266)</f>
        <v>0</v>
      </c>
      <c r="K261" s="204"/>
      <c r="L261" s="205"/>
      <c r="M261" s="203">
        <f>SUM(M262:M266)</f>
        <v>0</v>
      </c>
      <c r="N261" s="204"/>
      <c r="O261" s="205"/>
      <c r="P261" s="203">
        <f>SUM(P262:P266)</f>
        <v>0</v>
      </c>
      <c r="Q261" s="204"/>
      <c r="R261" s="205"/>
      <c r="S261" s="203">
        <f>SUM(S262:S266)</f>
        <v>0</v>
      </c>
      <c r="T261" s="204"/>
      <c r="U261" s="205"/>
      <c r="V261" s="199">
        <f t="shared" si="6"/>
        <v>0</v>
      </c>
      <c r="W261" s="200"/>
      <c r="X261" s="200"/>
    </row>
    <row r="262" spans="1:24">
      <c r="A262" s="210" t="s">
        <v>269</v>
      </c>
      <c r="B262" s="210" t="s">
        <v>48</v>
      </c>
      <c r="C262" s="210" t="s">
        <v>48</v>
      </c>
      <c r="D262" s="206">
        <f>SUMIF('PB7'!$J$3:$J$201,"D4.7.1-Staff Costs",'PB7'!$I$3:$I$201)</f>
        <v>0</v>
      </c>
      <c r="E262" s="207"/>
      <c r="F262" s="208"/>
      <c r="G262" s="206">
        <f>SUMIF('PB7'!$J$3:$J$201,"D4.7.1-Office and Administration",'PB7'!$I$3:$I$201)</f>
        <v>0</v>
      </c>
      <c r="H262" s="207"/>
      <c r="I262" s="208"/>
      <c r="J262" s="206">
        <f>SUMIF('PB7'!$J$3:$J$201,"D4.7.1-Travel and Accommodation",'PB7'!$I$3:$I$201)</f>
        <v>0</v>
      </c>
      <c r="K262" s="207"/>
      <c r="L262" s="208"/>
      <c r="M262" s="206">
        <f>SUMIF('PB7'!$J$3:$J$201,"D4.7.1-External Expertise and Services",'PB7'!$I$3:$I$201)</f>
        <v>0</v>
      </c>
      <c r="N262" s="207"/>
      <c r="O262" s="208"/>
      <c r="P262" s="206">
        <f>SUMIF('PB7'!$J$3:$J$201,"D4.7.1-Equipment",'PB7'!$I$3:$I$201)</f>
        <v>0</v>
      </c>
      <c r="Q262" s="207"/>
      <c r="R262" s="208"/>
      <c r="S262" s="206">
        <f>SUMIF('PB7'!$J$3:$J$201,"D4.7.1-Infrastructure and Works",'PB7'!$I$3:$I$201)</f>
        <v>0</v>
      </c>
      <c r="T262" s="207"/>
      <c r="U262" s="208"/>
      <c r="V262" s="201">
        <f t="shared" si="6"/>
        <v>0</v>
      </c>
      <c r="W262" s="202"/>
      <c r="X262" s="202"/>
    </row>
    <row r="263" spans="1:24">
      <c r="A263" s="210" t="s">
        <v>275</v>
      </c>
      <c r="B263" s="210" t="s">
        <v>49</v>
      </c>
      <c r="C263" s="210" t="s">
        <v>49</v>
      </c>
      <c r="D263" s="206">
        <f>SUMIF('PB7'!$J$3:$J$201,"D4.7.2-Staff Costs",'PB7'!$I$3:$I$201)</f>
        <v>0</v>
      </c>
      <c r="E263" s="207"/>
      <c r="F263" s="208"/>
      <c r="G263" s="206">
        <f>SUMIF('PB7'!$J$3:$J$201,"D4.7.2-Office and Administration",'PB7'!$I$3:$I$201)</f>
        <v>0</v>
      </c>
      <c r="H263" s="207"/>
      <c r="I263" s="208"/>
      <c r="J263" s="206">
        <f>SUMIF('PB7'!$J$3:$J$201,"D4.7.2-Travel and Accommodation",'PB7'!$I$3:$I$201)</f>
        <v>0</v>
      </c>
      <c r="K263" s="207"/>
      <c r="L263" s="208"/>
      <c r="M263" s="206">
        <f>SUMIF('PB7'!$J$3:$J$201,"D4.7.2-External Expertise and Services",'PB7'!$I$3:$I$201)</f>
        <v>0</v>
      </c>
      <c r="N263" s="207"/>
      <c r="O263" s="208"/>
      <c r="P263" s="206">
        <f>SUMIF('PB7'!$J$3:$J$201,"D4.7.2-Equipment",'PB7'!$I$3:$I$201)</f>
        <v>0</v>
      </c>
      <c r="Q263" s="207"/>
      <c r="R263" s="208"/>
      <c r="S263" s="206">
        <f>SUMIF('PB7'!$J$3:$J$201,"D4.7.2-Infrastructure and Works",'PB7'!$I$3:$I$201)</f>
        <v>0</v>
      </c>
      <c r="T263" s="207"/>
      <c r="U263" s="208"/>
      <c r="V263" s="201">
        <f t="shared" si="6"/>
        <v>0</v>
      </c>
      <c r="W263" s="202"/>
      <c r="X263" s="202"/>
    </row>
    <row r="264" spans="1:24">
      <c r="A264" s="210" t="s">
        <v>281</v>
      </c>
      <c r="B264" s="210" t="s">
        <v>50</v>
      </c>
      <c r="C264" s="210" t="s">
        <v>50</v>
      </c>
      <c r="D264" s="206">
        <f>SUMIF('PB7'!$J$3:$J$201,"D4.7.3-Staff Costs",'PB7'!$I$3:$I$201)</f>
        <v>0</v>
      </c>
      <c r="E264" s="207"/>
      <c r="F264" s="208"/>
      <c r="G264" s="206">
        <f>SUMIF('PB7'!$J$3:$J$201,"D4.7.3-Office and Administration",'PB7'!$I$3:$I$201)</f>
        <v>0</v>
      </c>
      <c r="H264" s="207"/>
      <c r="I264" s="208"/>
      <c r="J264" s="206">
        <f>SUMIF('PB7'!$J$3:$J$201,"D4.7.3-Travel and Accommodation",'PB7'!$I$3:$I$201)</f>
        <v>0</v>
      </c>
      <c r="K264" s="207"/>
      <c r="L264" s="208"/>
      <c r="M264" s="206">
        <f>SUMIF('PB7'!$J$3:$J$201,"D4.7.3-External Expertise and Services",'PB7'!$I$3:$I$201)</f>
        <v>0</v>
      </c>
      <c r="N264" s="207"/>
      <c r="O264" s="208"/>
      <c r="P264" s="206">
        <f>SUMIF('PB7'!$J$3:$J$201,"D4.7.3-Equipment",'PB7'!$I$3:$I$201)</f>
        <v>0</v>
      </c>
      <c r="Q264" s="207"/>
      <c r="R264" s="208"/>
      <c r="S264" s="206">
        <f>SUMIF('PB7'!$J$3:$J$201,"D4.7.3-Infrastructure and Works",'PB7'!$I$3:$I$201)</f>
        <v>0</v>
      </c>
      <c r="T264" s="207"/>
      <c r="U264" s="208"/>
      <c r="V264" s="201">
        <f t="shared" si="6"/>
        <v>0</v>
      </c>
      <c r="W264" s="202"/>
      <c r="X264" s="202"/>
    </row>
    <row r="265" spans="1:24">
      <c r="A265" s="210" t="s">
        <v>287</v>
      </c>
      <c r="B265" s="210" t="s">
        <v>51</v>
      </c>
      <c r="C265" s="210" t="s">
        <v>51</v>
      </c>
      <c r="D265" s="206">
        <f>SUMIF('PB7'!$J$3:$J$201,"D4.7.4-Staff Costs",'PB7'!$I$3:$I$201)</f>
        <v>0</v>
      </c>
      <c r="E265" s="207"/>
      <c r="F265" s="208"/>
      <c r="G265" s="206">
        <f>SUMIF('PB7'!$J$3:$J$201,"D4.7.4-Office and Administration",'PB7'!$I$3:$I$201)</f>
        <v>0</v>
      </c>
      <c r="H265" s="207"/>
      <c r="I265" s="208"/>
      <c r="J265" s="206">
        <f>SUMIF('PB7'!$J$3:$J$201,"D4.7.4-Travel and Accommodation",'PB7'!$I$3:$I$201)</f>
        <v>0</v>
      </c>
      <c r="K265" s="207"/>
      <c r="L265" s="208"/>
      <c r="M265" s="206">
        <f>SUMIF('PB7'!$J$3:$J$201,"D4.7.4-External Expertise and Services",'PB7'!$I$3:$I$201)</f>
        <v>0</v>
      </c>
      <c r="N265" s="207"/>
      <c r="O265" s="208"/>
      <c r="P265" s="206">
        <f>SUMIF('PB7'!$J$3:$J$201,"D4.7.4-Equipment",'PB7'!$I$3:$I$201)</f>
        <v>0</v>
      </c>
      <c r="Q265" s="207"/>
      <c r="R265" s="208"/>
      <c r="S265" s="206">
        <f>SUMIF('PB7'!$J$3:$J$201,"D4.7.4-Infrastructure and Works",'PB7'!$I$3:$I$201)</f>
        <v>0</v>
      </c>
      <c r="T265" s="207"/>
      <c r="U265" s="208"/>
      <c r="V265" s="201">
        <f t="shared" si="6"/>
        <v>0</v>
      </c>
      <c r="W265" s="202"/>
      <c r="X265" s="202"/>
    </row>
    <row r="266" spans="1:24">
      <c r="A266" s="210" t="s">
        <v>293</v>
      </c>
      <c r="B266" s="210" t="s">
        <v>52</v>
      </c>
      <c r="C266" s="210" t="s">
        <v>52</v>
      </c>
      <c r="D266" s="206">
        <f>SUMIF('PB7'!$J$3:$J$201,"D4.7.5-Staff Costs",'PB7'!$I$3:$I$201)</f>
        <v>0</v>
      </c>
      <c r="E266" s="207"/>
      <c r="F266" s="208"/>
      <c r="G266" s="206">
        <f>SUMIF('PB7'!$J$3:$J$201,"D4.7.5-Office and Administration",'PB7'!$I$3:$I$201)</f>
        <v>0</v>
      </c>
      <c r="H266" s="207"/>
      <c r="I266" s="208"/>
      <c r="J266" s="206">
        <f>SUMIF('PB7'!$J$3:$J$201,"D4.7.5-Travel and Accommodation",'PB7'!$I$3:$I$201)</f>
        <v>0</v>
      </c>
      <c r="K266" s="207"/>
      <c r="L266" s="208"/>
      <c r="M266" s="206">
        <f>SUMIF('PB7'!$J$3:$J$201,"D4.7.5-External Expertise and Services",'PB7'!$I$3:$I$201)</f>
        <v>0</v>
      </c>
      <c r="N266" s="207"/>
      <c r="O266" s="208"/>
      <c r="P266" s="206">
        <f>SUMIF('PB7'!$J$3:$J$201,"D4.7.5-Equipment",'PB7'!$I$3:$I$201)</f>
        <v>0</v>
      </c>
      <c r="Q266" s="207"/>
      <c r="R266" s="208"/>
      <c r="S266" s="206">
        <f>SUMIF('PB7'!$J$3:$J$201,"D4.7.5-Infrastructure and Works",'PB7'!$I$3:$I$201)</f>
        <v>0</v>
      </c>
      <c r="T266" s="207"/>
      <c r="U266" s="208"/>
      <c r="V266" s="201">
        <f t="shared" si="6"/>
        <v>0</v>
      </c>
      <c r="W266" s="202"/>
      <c r="X266" s="202"/>
    </row>
    <row r="267" spans="1:24">
      <c r="A267" s="213" t="s">
        <v>420</v>
      </c>
      <c r="B267" s="213"/>
      <c r="C267" s="213" t="s">
        <v>418</v>
      </c>
      <c r="D267" s="203">
        <f>SUM(D268:D272)</f>
        <v>0</v>
      </c>
      <c r="E267" s="204"/>
      <c r="F267" s="205"/>
      <c r="G267" s="203">
        <f>SUM(G268:G272)</f>
        <v>0</v>
      </c>
      <c r="H267" s="204"/>
      <c r="I267" s="205"/>
      <c r="J267" s="203">
        <f>SUM(J268:J272)</f>
        <v>0</v>
      </c>
      <c r="K267" s="204"/>
      <c r="L267" s="205"/>
      <c r="M267" s="203">
        <f>SUM(M268:M272)</f>
        <v>0</v>
      </c>
      <c r="N267" s="204"/>
      <c r="O267" s="205"/>
      <c r="P267" s="203">
        <f>SUM(P268:P272)</f>
        <v>0</v>
      </c>
      <c r="Q267" s="204"/>
      <c r="R267" s="205"/>
      <c r="S267" s="203">
        <f>SUM(S268:S272)</f>
        <v>0</v>
      </c>
      <c r="T267" s="204"/>
      <c r="U267" s="205"/>
      <c r="V267" s="199">
        <f t="shared" si="6"/>
        <v>0</v>
      </c>
      <c r="W267" s="200"/>
      <c r="X267" s="200"/>
    </row>
    <row r="268" spans="1:24">
      <c r="A268" s="210" t="s">
        <v>270</v>
      </c>
      <c r="B268" s="210" t="s">
        <v>53</v>
      </c>
      <c r="C268" s="210" t="s">
        <v>53</v>
      </c>
      <c r="D268" s="206">
        <f>SUMIF('PB7'!$J$3:$J$201,"D5.7.1-Staff Costs",'PB7'!$I$3:$I$201)</f>
        <v>0</v>
      </c>
      <c r="E268" s="207"/>
      <c r="F268" s="208"/>
      <c r="G268" s="206">
        <f>SUMIF('PB7'!$J$3:$J$201,"D5.7.1-Office and Administration",'PB7'!$I$3:$I$201)</f>
        <v>0</v>
      </c>
      <c r="H268" s="207"/>
      <c r="I268" s="208"/>
      <c r="J268" s="206">
        <f>SUMIF('PB7'!$J$3:$J$201,"D5.7.1-Travel and Accommodation",'PB7'!$I$3:$I$201)</f>
        <v>0</v>
      </c>
      <c r="K268" s="207"/>
      <c r="L268" s="208"/>
      <c r="M268" s="206">
        <f>SUMIF('PB7'!$J$3:$J$201,"D5.7.1-External Expertise and Services",'PB7'!$I$3:$I$201)</f>
        <v>0</v>
      </c>
      <c r="N268" s="207"/>
      <c r="O268" s="208"/>
      <c r="P268" s="206">
        <f>SUMIF('PB7'!$J$3:$J$201,"D5.7.1-Equipment",'PB7'!$I$3:$I$201)</f>
        <v>0</v>
      </c>
      <c r="Q268" s="207"/>
      <c r="R268" s="208"/>
      <c r="S268" s="206">
        <f>SUMIF('PB7'!$J$3:$J$201,"D5.7.1-Infrastructure and Works",'PB7'!$I$3:$I$201)</f>
        <v>0</v>
      </c>
      <c r="T268" s="207"/>
      <c r="U268" s="208"/>
      <c r="V268" s="201">
        <f t="shared" si="6"/>
        <v>0</v>
      </c>
      <c r="W268" s="202"/>
      <c r="X268" s="202"/>
    </row>
    <row r="269" spans="1:24">
      <c r="A269" s="210" t="s">
        <v>276</v>
      </c>
      <c r="B269" s="210" t="s">
        <v>54</v>
      </c>
      <c r="C269" s="210" t="s">
        <v>54</v>
      </c>
      <c r="D269" s="206">
        <f>SUMIF('PB7'!$J$3:$J$201,"D5.7.2-Staff Costs",'PB7'!$I$3:$I$201)</f>
        <v>0</v>
      </c>
      <c r="E269" s="207"/>
      <c r="F269" s="208"/>
      <c r="G269" s="206">
        <f>SUMIF('PB7'!$J$3:$J$201,"D5.7.2-Office and Administration",'PB7'!$I$3:$I$201)</f>
        <v>0</v>
      </c>
      <c r="H269" s="207"/>
      <c r="I269" s="208"/>
      <c r="J269" s="206">
        <f>SUMIF('PB7'!$J$3:$J$201,"D5.7.2-Travel and Accommodation",'PB7'!$I$3:$I$201)</f>
        <v>0</v>
      </c>
      <c r="K269" s="207"/>
      <c r="L269" s="208"/>
      <c r="M269" s="206">
        <f>SUMIF('PB7'!$J$3:$J$201,"D5.7.2-External Expertise and Services",'PB7'!$I$3:$I$201)</f>
        <v>0</v>
      </c>
      <c r="N269" s="207"/>
      <c r="O269" s="208"/>
      <c r="P269" s="206">
        <f>SUMIF('PB7'!$J$3:$J$201,"D5.7.2-Equipment",'PB7'!$I$3:$I$201)</f>
        <v>0</v>
      </c>
      <c r="Q269" s="207"/>
      <c r="R269" s="208"/>
      <c r="S269" s="206">
        <f>SUMIF('PB7'!$J$3:$J$201,"D5.7.2-Infrastructure and Works",'PB7'!$I$3:$I$201)</f>
        <v>0</v>
      </c>
      <c r="T269" s="207"/>
      <c r="U269" s="208"/>
      <c r="V269" s="201">
        <f t="shared" si="6"/>
        <v>0</v>
      </c>
      <c r="W269" s="202"/>
      <c r="X269" s="202"/>
    </row>
    <row r="270" spans="1:24">
      <c r="A270" s="210" t="s">
        <v>282</v>
      </c>
      <c r="B270" s="210" t="s">
        <v>55</v>
      </c>
      <c r="C270" s="210" t="s">
        <v>55</v>
      </c>
      <c r="D270" s="206">
        <f>SUMIF('PB7'!$J$3:$J$201,"D5.7.3-Staff Costs",'PB7'!$I$3:$I$201)</f>
        <v>0</v>
      </c>
      <c r="E270" s="207"/>
      <c r="F270" s="208"/>
      <c r="G270" s="206">
        <f>SUMIF('PB7'!$J$3:$J$201,"D5.7.3-Office and Administration",'PB7'!$I$3:$I$201)</f>
        <v>0</v>
      </c>
      <c r="H270" s="207"/>
      <c r="I270" s="208"/>
      <c r="J270" s="206">
        <f>SUMIF('PB7'!$J$3:$J$201,"D5.7.3-Travel and Accommodation",'PB7'!$I$3:$I$201)</f>
        <v>0</v>
      </c>
      <c r="K270" s="207"/>
      <c r="L270" s="208"/>
      <c r="M270" s="206">
        <f>SUMIF('PB7'!$J$3:$J$201,"D5.7.3-External Expertise and Services",'PB7'!$I$3:$I$201)</f>
        <v>0</v>
      </c>
      <c r="N270" s="207"/>
      <c r="O270" s="208"/>
      <c r="P270" s="206">
        <f>SUMIF('PB7'!$J$3:$J$201,"D5.7.3-Equipment",'PB7'!$I$3:$I$201)</f>
        <v>0</v>
      </c>
      <c r="Q270" s="207"/>
      <c r="R270" s="208"/>
      <c r="S270" s="206">
        <f>SUMIF('PB7'!$J$3:$J$201,"D5.7.3-Infrastructure and Works",'PB7'!$I$3:$I$201)</f>
        <v>0</v>
      </c>
      <c r="T270" s="207"/>
      <c r="U270" s="208"/>
      <c r="V270" s="201">
        <f t="shared" si="6"/>
        <v>0</v>
      </c>
      <c r="W270" s="202"/>
      <c r="X270" s="202"/>
    </row>
    <row r="271" spans="1:24">
      <c r="A271" s="210" t="s">
        <v>288</v>
      </c>
      <c r="B271" s="210" t="s">
        <v>56</v>
      </c>
      <c r="C271" s="210" t="s">
        <v>56</v>
      </c>
      <c r="D271" s="206">
        <f>SUMIF('PB7'!$J$3:$J$201,"D5.7.4-Staff Costs",'PB7'!$I$3:$I$201)</f>
        <v>0</v>
      </c>
      <c r="E271" s="207"/>
      <c r="F271" s="208"/>
      <c r="G271" s="206">
        <f>SUMIF('PB7'!$J$3:$J$201,"D5.7.4-Office and Administration",'PB7'!$I$3:$I$201)</f>
        <v>0</v>
      </c>
      <c r="H271" s="207"/>
      <c r="I271" s="208"/>
      <c r="J271" s="206">
        <f>SUMIF('PB7'!$J$3:$J$201,"D5.7.4-Travel and Accommodation",'PB7'!$I$3:$I$201)</f>
        <v>0</v>
      </c>
      <c r="K271" s="207"/>
      <c r="L271" s="208"/>
      <c r="M271" s="206">
        <f>SUMIF('PB7'!$J$3:$J$201,"D5.7.4-External Expertise and Services",'PB7'!$I$3:$I$201)</f>
        <v>0</v>
      </c>
      <c r="N271" s="207"/>
      <c r="O271" s="208"/>
      <c r="P271" s="206">
        <f>SUMIF('PB7'!$J$3:$J$201,"D5.7.4-Equipment",'PB7'!$I$3:$I$201)</f>
        <v>0</v>
      </c>
      <c r="Q271" s="207"/>
      <c r="R271" s="208"/>
      <c r="S271" s="206">
        <f>SUMIF('PB7'!$J$3:$J$201,"D5.7.4-Infrastructure and Works",'PB7'!$I$3:$I$201)</f>
        <v>0</v>
      </c>
      <c r="T271" s="207"/>
      <c r="U271" s="208"/>
      <c r="V271" s="201">
        <f t="shared" si="6"/>
        <v>0</v>
      </c>
      <c r="W271" s="202"/>
      <c r="X271" s="202"/>
    </row>
    <row r="272" spans="1:24">
      <c r="A272" s="210" t="s">
        <v>294</v>
      </c>
      <c r="B272" s="210" t="s">
        <v>57</v>
      </c>
      <c r="C272" s="210" t="s">
        <v>57</v>
      </c>
      <c r="D272" s="206">
        <f>SUMIF('PB7'!$J$3:$J$201,"D5.7.5-Staff Costs",'PB7'!$I$3:$I$201)</f>
        <v>0</v>
      </c>
      <c r="E272" s="207"/>
      <c r="F272" s="208"/>
      <c r="G272" s="206">
        <f>SUMIF('PB7'!$J$3:$J$201,"D5.7.5-Office and Administration",'PB7'!$I$3:$I$201)</f>
        <v>0</v>
      </c>
      <c r="H272" s="207"/>
      <c r="I272" s="208"/>
      <c r="J272" s="206">
        <f>SUMIF('PB7'!$J$3:$J$201,"D5.7.5-Travel and Accommodation",'PB7'!$I$3:$I$201)</f>
        <v>0</v>
      </c>
      <c r="K272" s="207"/>
      <c r="L272" s="208"/>
      <c r="M272" s="206">
        <f>SUMIF('PB7'!$J$3:$J$201,"D5.7.5-External Expertise and Services",'PB7'!$I$3:$I$201)</f>
        <v>0</v>
      </c>
      <c r="N272" s="207"/>
      <c r="O272" s="208"/>
      <c r="P272" s="206">
        <f>SUMIF('PB7'!$J$3:$J$201,"D5.7.5-Equipment",'PB7'!$I$3:$I$201)</f>
        <v>0</v>
      </c>
      <c r="Q272" s="207"/>
      <c r="R272" s="208"/>
      <c r="S272" s="206">
        <f>SUMIF('PB7'!$J$3:$J$201,"D5.7.5-Infrastructure and Works",'PB7'!$I$3:$I$201)</f>
        <v>0</v>
      </c>
      <c r="T272" s="207"/>
      <c r="U272" s="208"/>
      <c r="V272" s="201">
        <f t="shared" si="6"/>
        <v>0</v>
      </c>
      <c r="W272" s="202"/>
      <c r="X272" s="202"/>
    </row>
    <row r="273" spans="1:24">
      <c r="A273" s="213" t="s">
        <v>421</v>
      </c>
      <c r="B273" s="213"/>
      <c r="C273" s="213" t="s">
        <v>418</v>
      </c>
      <c r="D273" s="203">
        <f>SUM(D274:D278)</f>
        <v>0</v>
      </c>
      <c r="E273" s="204"/>
      <c r="F273" s="205"/>
      <c r="G273" s="203">
        <f>SUM(G274:G278)</f>
        <v>0</v>
      </c>
      <c r="H273" s="204"/>
      <c r="I273" s="205"/>
      <c r="J273" s="203">
        <f>SUM(J274:J278)</f>
        <v>0</v>
      </c>
      <c r="K273" s="204"/>
      <c r="L273" s="205"/>
      <c r="M273" s="203">
        <f>SUM(M274:M278)</f>
        <v>0</v>
      </c>
      <c r="N273" s="204"/>
      <c r="O273" s="205"/>
      <c r="P273" s="203">
        <f>SUM(P274:P278)</f>
        <v>0</v>
      </c>
      <c r="Q273" s="204"/>
      <c r="R273" s="205"/>
      <c r="S273" s="203">
        <f>SUM(S274:S278)</f>
        <v>0</v>
      </c>
      <c r="T273" s="204"/>
      <c r="U273" s="205"/>
      <c r="V273" s="199">
        <f t="shared" si="6"/>
        <v>0</v>
      </c>
      <c r="W273" s="200"/>
      <c r="X273" s="200"/>
    </row>
    <row r="274" spans="1:24">
      <c r="A274" s="210" t="s">
        <v>271</v>
      </c>
      <c r="B274" s="210" t="s">
        <v>58</v>
      </c>
      <c r="C274" s="210" t="s">
        <v>58</v>
      </c>
      <c r="D274" s="206">
        <f>SUMIF('PB7'!$J$3:$J$201,"D6.7.1-Staff Costs",'PB7'!$I$3:$I$201)</f>
        <v>0</v>
      </c>
      <c r="E274" s="207"/>
      <c r="F274" s="208"/>
      <c r="G274" s="206">
        <f>SUMIF('PB7'!$J$3:$J$201,"D6.7.1-Office and Administration",'PB7'!$I$3:$I$201)</f>
        <v>0</v>
      </c>
      <c r="H274" s="207"/>
      <c r="I274" s="208"/>
      <c r="J274" s="206">
        <f>SUMIF('PB7'!$J$3:$J$201,"D6.7.1-Travel and Accommodation",'PB7'!$I$3:$I$201)</f>
        <v>0</v>
      </c>
      <c r="K274" s="207"/>
      <c r="L274" s="208"/>
      <c r="M274" s="206">
        <f>SUMIF('PB7'!$J$3:$J$201,"D6.7.1-External Expertise and Services",'PB7'!$I$3:$I$201)</f>
        <v>0</v>
      </c>
      <c r="N274" s="207"/>
      <c r="O274" s="208"/>
      <c r="P274" s="206">
        <f>SUMIF('PB7'!$J$3:$J$201,"D6.7.1-Equipment",'PB7'!$I$3:$I$201)</f>
        <v>0</v>
      </c>
      <c r="Q274" s="207"/>
      <c r="R274" s="208"/>
      <c r="S274" s="206">
        <f>SUMIF('PB7'!$J$3:$J$201,"D6.7.1-Infrastructure and Works",'PB7'!$I$3:$I$201)</f>
        <v>0</v>
      </c>
      <c r="T274" s="207"/>
      <c r="U274" s="208"/>
      <c r="V274" s="201">
        <f t="shared" si="6"/>
        <v>0</v>
      </c>
      <c r="W274" s="202"/>
      <c r="X274" s="202"/>
    </row>
    <row r="275" spans="1:24">
      <c r="A275" s="210" t="s">
        <v>277</v>
      </c>
      <c r="B275" s="210" t="s">
        <v>59</v>
      </c>
      <c r="C275" s="210" t="s">
        <v>59</v>
      </c>
      <c r="D275" s="206">
        <f>SUMIF('PB7'!$J$3:$J$201,"D6.7.2-Staff Costs",'PB7'!$I$3:$I$201)</f>
        <v>0</v>
      </c>
      <c r="E275" s="207"/>
      <c r="F275" s="208"/>
      <c r="G275" s="206">
        <f>SUMIF('PB7'!$J$3:$J$201,"D6.7.2-Office and Administration",'PB7'!$I$3:$I$201)</f>
        <v>0</v>
      </c>
      <c r="H275" s="207"/>
      <c r="I275" s="208"/>
      <c r="J275" s="206">
        <f>SUMIF('PB7'!$J$3:$J$201,"D6.7.2-Travel and Accommodation",'PB7'!$I$3:$I$201)</f>
        <v>0</v>
      </c>
      <c r="K275" s="207"/>
      <c r="L275" s="208"/>
      <c r="M275" s="206">
        <f>SUMIF('PB7'!$J$3:$J$201,"D6.7.2-External Expertise and Services",'PB7'!$I$3:$I$201)</f>
        <v>0</v>
      </c>
      <c r="N275" s="207"/>
      <c r="O275" s="208"/>
      <c r="P275" s="206">
        <f>SUMIF('PB7'!$J$3:$J$201,"D6.7.2-Equipment",'PB7'!$I$3:$I$201)</f>
        <v>0</v>
      </c>
      <c r="Q275" s="207"/>
      <c r="R275" s="208"/>
      <c r="S275" s="206">
        <f>SUMIF('PB7'!$J$3:$J$201,"D6.7.2-Infrastructure and Works",'PB7'!$I$3:$I$201)</f>
        <v>0</v>
      </c>
      <c r="T275" s="207"/>
      <c r="U275" s="208"/>
      <c r="V275" s="201">
        <f t="shared" si="6"/>
        <v>0</v>
      </c>
      <c r="W275" s="202"/>
      <c r="X275" s="202"/>
    </row>
    <row r="276" spans="1:24">
      <c r="A276" s="210" t="s">
        <v>283</v>
      </c>
      <c r="B276" s="210" t="s">
        <v>60</v>
      </c>
      <c r="C276" s="210" t="s">
        <v>60</v>
      </c>
      <c r="D276" s="206">
        <f>SUMIF('PB7'!$J$3:$J$201,"D6.7.3-Staff Costs",'PB7'!$I$3:$I$201)</f>
        <v>0</v>
      </c>
      <c r="E276" s="207"/>
      <c r="F276" s="208"/>
      <c r="G276" s="206">
        <f>SUMIF('PB7'!$J$3:$J$201,"D6.7.3-Office and Administration",'PB7'!$I$3:$I$201)</f>
        <v>0</v>
      </c>
      <c r="H276" s="207"/>
      <c r="I276" s="208"/>
      <c r="J276" s="206">
        <f>SUMIF('PB7'!$J$3:$J$201,"D6.7.3-Travel and Accommodation",'PB7'!$I$3:$I$201)</f>
        <v>0</v>
      </c>
      <c r="K276" s="207"/>
      <c r="L276" s="208"/>
      <c r="M276" s="206">
        <f>SUMIF('PB7'!$J$3:$J$201,"D6.7.3-External Expertise and Services",'PB7'!$I$3:$I$201)</f>
        <v>0</v>
      </c>
      <c r="N276" s="207"/>
      <c r="O276" s="208"/>
      <c r="P276" s="206">
        <f>SUMIF('PB7'!$J$3:$J$201,"D6.7.3-Equipment",'PB7'!$I$3:$I$201)</f>
        <v>0</v>
      </c>
      <c r="Q276" s="207"/>
      <c r="R276" s="208"/>
      <c r="S276" s="206">
        <f>SUMIF('PB7'!$J$3:$J$201,"D6.7.3-Infrastructure and Works",'PB7'!$I$3:$I$201)</f>
        <v>0</v>
      </c>
      <c r="T276" s="207"/>
      <c r="U276" s="208"/>
      <c r="V276" s="201">
        <f t="shared" si="6"/>
        <v>0</v>
      </c>
      <c r="W276" s="202"/>
      <c r="X276" s="202"/>
    </row>
    <row r="277" spans="1:24">
      <c r="A277" s="210" t="s">
        <v>289</v>
      </c>
      <c r="B277" s="210" t="s">
        <v>61</v>
      </c>
      <c r="C277" s="210" t="s">
        <v>61</v>
      </c>
      <c r="D277" s="206">
        <f>SUMIF('PB7'!$J$3:$J$201,"D6.7.4-Staff Costs",'PB7'!$I$3:$I$201)</f>
        <v>0</v>
      </c>
      <c r="E277" s="207"/>
      <c r="F277" s="208"/>
      <c r="G277" s="206">
        <f>SUMIF('PB7'!$J$3:$J$201,"D6.7.4-Office and Administration",'PB7'!$I$3:$I$201)</f>
        <v>0</v>
      </c>
      <c r="H277" s="207"/>
      <c r="I277" s="208"/>
      <c r="J277" s="206">
        <f>SUMIF('PB7'!$J$3:$J$201,"D6.7.4-Travel and Accommodation",'PB7'!$I$3:$I$201)</f>
        <v>0</v>
      </c>
      <c r="K277" s="207"/>
      <c r="L277" s="208"/>
      <c r="M277" s="206">
        <f>SUMIF('PB7'!$J$3:$J$201,"D6.7.4-External Expertise and Services",'PB7'!$I$3:$I$201)</f>
        <v>0</v>
      </c>
      <c r="N277" s="207"/>
      <c r="O277" s="208"/>
      <c r="P277" s="206">
        <f>SUMIF('PB7'!$J$3:$J$201,"D6.7.4-Equipment",'PB7'!$I$3:$I$201)</f>
        <v>0</v>
      </c>
      <c r="Q277" s="207"/>
      <c r="R277" s="208"/>
      <c r="S277" s="206">
        <f>SUMIF('PB7'!$J$3:$J$201,"D6.7.4-Infrastructure and Works",'PB7'!$I$3:$I$201)</f>
        <v>0</v>
      </c>
      <c r="T277" s="207"/>
      <c r="U277" s="208"/>
      <c r="V277" s="201">
        <f t="shared" si="6"/>
        <v>0</v>
      </c>
      <c r="W277" s="202"/>
      <c r="X277" s="202"/>
    </row>
    <row r="278" spans="1:24">
      <c r="A278" s="210" t="s">
        <v>295</v>
      </c>
      <c r="B278" s="210"/>
      <c r="C278" s="210"/>
      <c r="D278" s="206">
        <f>SUMIF('PB7'!$J$3:$J$201,"D6.7.5-Staff Costs",'PB7'!$I$3:$I$201)</f>
        <v>0</v>
      </c>
      <c r="E278" s="207"/>
      <c r="F278" s="208"/>
      <c r="G278" s="206">
        <f>SUMIF('PB7'!$J$3:$J$201,"D6.7.5-Office and Administration",'PB7'!$I$3:$I$201)</f>
        <v>0</v>
      </c>
      <c r="H278" s="207"/>
      <c r="I278" s="208"/>
      <c r="J278" s="206">
        <f>SUMIF('PB7'!$J$3:$J$201,"D6.7.5-Travel and Accommodation",'PB7'!$I$3:$I$201)</f>
        <v>0</v>
      </c>
      <c r="K278" s="207"/>
      <c r="L278" s="208"/>
      <c r="M278" s="206">
        <f>SUMIF('PB7'!$J$3:$J$201,"D6.7.5-External Expertise and Services",'PB7'!$I$3:$I$201)</f>
        <v>0</v>
      </c>
      <c r="N278" s="207"/>
      <c r="O278" s="208"/>
      <c r="P278" s="206">
        <f>SUMIF('PB7'!$J$3:$J$201,"D6.7.5-Equipment",'PB7'!$I$3:$I$201)</f>
        <v>0</v>
      </c>
      <c r="Q278" s="207"/>
      <c r="R278" s="208"/>
      <c r="S278" s="206">
        <f>SUMIF('PB7'!$J$3:$J$201,"D6.7.5-Infrastructure and Works",'PB7'!$I$3:$I$201)</f>
        <v>0</v>
      </c>
      <c r="T278" s="207"/>
      <c r="U278" s="208"/>
      <c r="V278" s="201">
        <f t="shared" si="6"/>
        <v>0</v>
      </c>
      <c r="W278" s="202"/>
      <c r="X278" s="202"/>
    </row>
    <row r="279" spans="1:24">
      <c r="A279" s="221" t="s">
        <v>423</v>
      </c>
      <c r="B279" s="221"/>
      <c r="C279" s="221"/>
      <c r="D279" s="224">
        <f>D273+D267+D261+D255+D249+D243</f>
        <v>0</v>
      </c>
      <c r="E279" s="225"/>
      <c r="F279" s="226"/>
      <c r="G279" s="224">
        <f>G273+G267+G261+G255+G249+G243</f>
        <v>0</v>
      </c>
      <c r="H279" s="225"/>
      <c r="I279" s="226"/>
      <c r="J279" s="224">
        <f>J273+J267+J261+J255+J249+J243</f>
        <v>0</v>
      </c>
      <c r="K279" s="225"/>
      <c r="L279" s="226"/>
      <c r="M279" s="224">
        <f>M273+M267+M261+M255+M249+M243</f>
        <v>0</v>
      </c>
      <c r="N279" s="225"/>
      <c r="O279" s="226"/>
      <c r="P279" s="224">
        <f>P273+P267+P261+P255+P249+P243</f>
        <v>0</v>
      </c>
      <c r="Q279" s="225"/>
      <c r="R279" s="226"/>
      <c r="S279" s="224">
        <f>S273+S267+S261+S255+S249+S243</f>
        <v>0</v>
      </c>
      <c r="T279" s="225"/>
      <c r="U279" s="226"/>
      <c r="V279" s="222">
        <f t="shared" si="6"/>
        <v>0</v>
      </c>
      <c r="W279" s="223"/>
      <c r="X279" s="201"/>
    </row>
    <row r="280" spans="1:24"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8"/>
      <c r="W280" s="48"/>
      <c r="X280" s="48"/>
    </row>
    <row r="281" spans="1:24" ht="15" customHeight="1">
      <c r="A281" s="211" t="s">
        <v>502</v>
      </c>
      <c r="B281" s="211"/>
      <c r="C281" s="211"/>
      <c r="D281" s="214" t="s">
        <v>23</v>
      </c>
      <c r="E281" s="215"/>
      <c r="F281" s="216"/>
      <c r="G281" s="214" t="s">
        <v>24</v>
      </c>
      <c r="H281" s="215"/>
      <c r="I281" s="216"/>
      <c r="J281" s="214" t="s">
        <v>474</v>
      </c>
      <c r="K281" s="215"/>
      <c r="L281" s="216"/>
      <c r="M281" s="214" t="s">
        <v>25</v>
      </c>
      <c r="N281" s="215"/>
      <c r="O281" s="216"/>
      <c r="P281" s="214" t="s">
        <v>26</v>
      </c>
      <c r="Q281" s="215"/>
      <c r="R281" s="216"/>
      <c r="S281" s="214" t="s">
        <v>406</v>
      </c>
      <c r="T281" s="215"/>
      <c r="U281" s="216"/>
      <c r="V281" s="220" t="s">
        <v>423</v>
      </c>
      <c r="W281" s="220"/>
      <c r="X281" s="220"/>
    </row>
    <row r="282" spans="1:24" ht="48.75" customHeight="1">
      <c r="A282" s="212">
        <f>'Cover page'!C29</f>
        <v>0</v>
      </c>
      <c r="B282" s="212"/>
      <c r="C282" s="212"/>
      <c r="D282" s="217"/>
      <c r="E282" s="218"/>
      <c r="F282" s="219"/>
      <c r="G282" s="217"/>
      <c r="H282" s="218"/>
      <c r="I282" s="219"/>
      <c r="J282" s="217"/>
      <c r="K282" s="218"/>
      <c r="L282" s="219"/>
      <c r="M282" s="217"/>
      <c r="N282" s="218"/>
      <c r="O282" s="219"/>
      <c r="P282" s="217"/>
      <c r="Q282" s="218"/>
      <c r="R282" s="219"/>
      <c r="S282" s="217"/>
      <c r="T282" s="218"/>
      <c r="U282" s="219"/>
      <c r="V282" s="220"/>
      <c r="W282" s="220"/>
      <c r="X282" s="220"/>
    </row>
    <row r="283" spans="1:24">
      <c r="A283" s="213" t="s">
        <v>415</v>
      </c>
      <c r="B283" s="213"/>
      <c r="C283" s="213"/>
      <c r="D283" s="203">
        <f>SUM(D284:D288)</f>
        <v>0</v>
      </c>
      <c r="E283" s="204"/>
      <c r="F283" s="205"/>
      <c r="G283" s="203">
        <f>SUM(G284:G288)</f>
        <v>0</v>
      </c>
      <c r="H283" s="204"/>
      <c r="I283" s="205"/>
      <c r="J283" s="203">
        <f>SUM(J284:J288)</f>
        <v>0</v>
      </c>
      <c r="K283" s="204"/>
      <c r="L283" s="205"/>
      <c r="M283" s="203">
        <f>SUM(M284:M288)</f>
        <v>0</v>
      </c>
      <c r="N283" s="204"/>
      <c r="O283" s="205"/>
      <c r="P283" s="203">
        <f>SUM(P284:P288)</f>
        <v>0</v>
      </c>
      <c r="Q283" s="204"/>
      <c r="R283" s="205"/>
      <c r="S283" s="203">
        <f>SUM(S284:S288)</f>
        <v>0</v>
      </c>
      <c r="T283" s="204"/>
      <c r="U283" s="205"/>
      <c r="V283" s="199">
        <f t="shared" ref="V283:V319" si="7">SUM(D283:S283)</f>
        <v>0</v>
      </c>
      <c r="W283" s="200"/>
      <c r="X283" s="200"/>
    </row>
    <row r="284" spans="1:24">
      <c r="A284" s="210" t="s">
        <v>302</v>
      </c>
      <c r="B284" s="210"/>
      <c r="C284" s="210"/>
      <c r="D284" s="206">
        <f>SUMIF('PB8'!$J$3:$J$201,"D1.8.1-Staff Costs",'PB8'!$I$3:$I$201)</f>
        <v>0</v>
      </c>
      <c r="E284" s="207"/>
      <c r="F284" s="208"/>
      <c r="G284" s="206">
        <f>SUMIF('PB8'!$J$3:$J$201,"D1.8.1-Office and Administration",'PB8'!$I$3:$I$201)</f>
        <v>0</v>
      </c>
      <c r="H284" s="207"/>
      <c r="I284" s="208"/>
      <c r="J284" s="206">
        <f>SUMIF('PB8'!$J$3:$J$201,"D1.8.1-Travel and Accommodation",'PB8'!$I$3:$I$201)</f>
        <v>0</v>
      </c>
      <c r="K284" s="207"/>
      <c r="L284" s="208"/>
      <c r="M284" s="206">
        <f>SUMIF('PB8'!$J$3:$J$201,"D1.8.1-External Expertise and Services",'PB8'!$I$3:$I$201)</f>
        <v>0</v>
      </c>
      <c r="N284" s="207"/>
      <c r="O284" s="208"/>
      <c r="P284" s="206">
        <f>SUMIF('PB8'!$J$3:$J$201,"D1.8.1-Equipment",'PB8'!$I$3:$I$201)</f>
        <v>0</v>
      </c>
      <c r="Q284" s="207"/>
      <c r="R284" s="208"/>
      <c r="S284" s="206">
        <f>SUMIF('PB8'!$J$3:$J$201,"D1.8.1-Infrastructure and Works",'PB8'!$I$3:$I$201)</f>
        <v>0</v>
      </c>
      <c r="T284" s="207"/>
      <c r="U284" s="208"/>
      <c r="V284" s="201">
        <f t="shared" si="7"/>
        <v>0</v>
      </c>
      <c r="W284" s="202"/>
      <c r="X284" s="202"/>
    </row>
    <row r="285" spans="1:24">
      <c r="A285" s="210" t="s">
        <v>308</v>
      </c>
      <c r="B285" s="210"/>
      <c r="C285" s="210"/>
      <c r="D285" s="206">
        <f>SUMIF('PB8'!$J$3:$J$201,"D1.8.2-Staff Costs",'PB8'!$I$3:$I$201)</f>
        <v>0</v>
      </c>
      <c r="E285" s="207"/>
      <c r="F285" s="208"/>
      <c r="G285" s="206">
        <f>SUMIF('PB8'!$J$3:$J$201,"D1.8.2-Office and Administration",'PB8'!$I$3:$I$201)</f>
        <v>0</v>
      </c>
      <c r="H285" s="207"/>
      <c r="I285" s="208"/>
      <c r="J285" s="206">
        <f>SUMIF('PB8'!$J$3:$J$201,"D1.8.2-Travel and Accommodation",'PB8'!$I$3:$I$201)</f>
        <v>0</v>
      </c>
      <c r="K285" s="207"/>
      <c r="L285" s="208"/>
      <c r="M285" s="206">
        <f>SUMIF('PB8'!$J$3:$J$201,"D1.8.2-External Expertise and Services",'PB8'!$I$3:$I$201)</f>
        <v>0</v>
      </c>
      <c r="N285" s="207"/>
      <c r="O285" s="208"/>
      <c r="P285" s="206">
        <f>SUMIF('PB8'!$J$3:$J$201,"D1.8.2-Equipment",'PB8'!$I$3:$I$201)</f>
        <v>0</v>
      </c>
      <c r="Q285" s="207"/>
      <c r="R285" s="208"/>
      <c r="S285" s="206">
        <f>SUMIF('PB8'!$J$3:$J$201,"D1.8.2-Infrastructure and Works",'PB8'!$I$3:$I$201)</f>
        <v>0</v>
      </c>
      <c r="T285" s="207"/>
      <c r="U285" s="208"/>
      <c r="V285" s="201">
        <f t="shared" si="7"/>
        <v>0</v>
      </c>
      <c r="W285" s="202"/>
      <c r="X285" s="202"/>
    </row>
    <row r="286" spans="1:24">
      <c r="A286" s="210" t="s">
        <v>314</v>
      </c>
      <c r="B286" s="210" t="s">
        <v>35</v>
      </c>
      <c r="C286" s="210" t="s">
        <v>35</v>
      </c>
      <c r="D286" s="206">
        <f>SUMIF('PB8'!$J$3:$J$201,"D1.8.3-Staff Costs",'PB8'!$I$3:$I$201)</f>
        <v>0</v>
      </c>
      <c r="E286" s="207"/>
      <c r="F286" s="208"/>
      <c r="G286" s="206">
        <f>SUMIF('PB8'!$J$3:$J$201,"D1.8.3-Office and Administration",'PB8'!$I$3:$I$201)</f>
        <v>0</v>
      </c>
      <c r="H286" s="207"/>
      <c r="I286" s="208"/>
      <c r="J286" s="206">
        <f>SUMIF('PB8'!$J$3:$J$201,"D1.8.3-Travel and Accommodation",'PB8'!$I$3:$I$201)</f>
        <v>0</v>
      </c>
      <c r="K286" s="207"/>
      <c r="L286" s="208"/>
      <c r="M286" s="206">
        <f>SUMIF('PB8'!$J$3:$J$201,"D1.8.3-External Expertise and Services",'PB8'!$I$3:$I$201)</f>
        <v>0</v>
      </c>
      <c r="N286" s="207"/>
      <c r="O286" s="208"/>
      <c r="P286" s="206">
        <f>SUMIF('PB8'!$J$3:$J$201,"D1.8.3-Equipment",'PB8'!$I$3:$I$201)</f>
        <v>0</v>
      </c>
      <c r="Q286" s="207"/>
      <c r="R286" s="208"/>
      <c r="S286" s="206">
        <f>SUMIF('PB8'!$J$3:$J$201,"D1.8.3-Infrastructure and Works",'PB8'!$I$3:$I$201)</f>
        <v>0</v>
      </c>
      <c r="T286" s="207"/>
      <c r="U286" s="208"/>
      <c r="V286" s="201">
        <f t="shared" si="7"/>
        <v>0</v>
      </c>
      <c r="W286" s="202"/>
      <c r="X286" s="202"/>
    </row>
    <row r="287" spans="1:24">
      <c r="A287" s="210" t="s">
        <v>320</v>
      </c>
      <c r="B287" s="210" t="s">
        <v>36</v>
      </c>
      <c r="C287" s="210" t="s">
        <v>36</v>
      </c>
      <c r="D287" s="206">
        <f>SUMIF('PB8'!$J$3:$J$201,"D1.8.4-Staff Costs",'PB8'!$I$3:$I$201)</f>
        <v>0</v>
      </c>
      <c r="E287" s="207"/>
      <c r="F287" s="208"/>
      <c r="G287" s="206">
        <f>SUMIF('PB8'!$J$3:$J$201,"D1.8.4-Office and Administration",'PB8'!$I$3:$I$201)</f>
        <v>0</v>
      </c>
      <c r="H287" s="207"/>
      <c r="I287" s="208"/>
      <c r="J287" s="206">
        <f>SUMIF('PB8'!$J$3:$J$201,"D1.8.4-Travel and Accommodation",'PB8'!$I$3:$I$201)</f>
        <v>0</v>
      </c>
      <c r="K287" s="207"/>
      <c r="L287" s="208"/>
      <c r="M287" s="206">
        <f>SUMIF('PB8'!$J$3:$J$201,"D1.8.4-External Expertise and Services",'PB8'!$I$3:$I$201)</f>
        <v>0</v>
      </c>
      <c r="N287" s="207"/>
      <c r="O287" s="208"/>
      <c r="P287" s="206">
        <f>SUMIF('PB8'!$J$3:$J$201,"D1.8.4-Equipment",'PB8'!$I$3:$I$201)</f>
        <v>0</v>
      </c>
      <c r="Q287" s="207"/>
      <c r="R287" s="208"/>
      <c r="S287" s="206">
        <f>SUMIF('PB8'!$J$3:$J$201,"D1.8.4-Infrastructure and Works",'PB8'!$I$3:$I$201)</f>
        <v>0</v>
      </c>
      <c r="T287" s="207"/>
      <c r="U287" s="208"/>
      <c r="V287" s="201">
        <f t="shared" si="7"/>
        <v>0</v>
      </c>
      <c r="W287" s="202"/>
      <c r="X287" s="202"/>
    </row>
    <row r="288" spans="1:24">
      <c r="A288" s="210" t="s">
        <v>326</v>
      </c>
      <c r="B288" s="210" t="s">
        <v>37</v>
      </c>
      <c r="C288" s="210" t="s">
        <v>37</v>
      </c>
      <c r="D288" s="206">
        <f>SUMIF('PB8'!$J$3:$J$201,"D1.8.5-Staff Costs",'PB8'!$I$3:$I$201)</f>
        <v>0</v>
      </c>
      <c r="E288" s="207"/>
      <c r="F288" s="208"/>
      <c r="G288" s="206">
        <f>SUMIF('PB8'!$J$3:$J$201,"D1.8.5-Office and Administration",'PB8'!$I$3:$I$201)</f>
        <v>0</v>
      </c>
      <c r="H288" s="207"/>
      <c r="I288" s="208"/>
      <c r="J288" s="206">
        <f>SUMIF('PB8'!$J$3:$J$201,"D1.8.5-Travel and Accommodation",'PB8'!$I$3:$I$201)</f>
        <v>0</v>
      </c>
      <c r="K288" s="207"/>
      <c r="L288" s="208"/>
      <c r="M288" s="206">
        <f>SUMIF('PB8'!$J$3:$J$201,"D1.8.5-External Expertise and Services",'PB8'!$I$3:$I$201)</f>
        <v>0</v>
      </c>
      <c r="N288" s="207"/>
      <c r="O288" s="208"/>
      <c r="P288" s="206">
        <f>SUMIF('PB8'!$J$3:$J$201,"D1.8.5-Equipment",'PB8'!$I$3:$I$201)</f>
        <v>0</v>
      </c>
      <c r="Q288" s="207"/>
      <c r="R288" s="208"/>
      <c r="S288" s="206">
        <f>SUMIF('PB8'!$J$3:$J$201,"D1.8.5-Infrastructure and Works",'PB8'!$I$3:$I$201)</f>
        <v>0</v>
      </c>
      <c r="T288" s="207"/>
      <c r="U288" s="208"/>
      <c r="V288" s="201">
        <f t="shared" si="7"/>
        <v>0</v>
      </c>
      <c r="W288" s="202"/>
      <c r="X288" s="202"/>
    </row>
    <row r="289" spans="1:24">
      <c r="A289" s="213" t="s">
        <v>416</v>
      </c>
      <c r="B289" s="213"/>
      <c r="C289" s="213"/>
      <c r="D289" s="203">
        <f>SUM(D290:D294)</f>
        <v>0</v>
      </c>
      <c r="E289" s="204"/>
      <c r="F289" s="205"/>
      <c r="G289" s="203">
        <f>SUM(G290:G294)</f>
        <v>0</v>
      </c>
      <c r="H289" s="204"/>
      <c r="I289" s="205"/>
      <c r="J289" s="203">
        <f>SUM(J290:J294)</f>
        <v>0</v>
      </c>
      <c r="K289" s="204"/>
      <c r="L289" s="205"/>
      <c r="M289" s="203">
        <f>SUM(M290:M294)</f>
        <v>0</v>
      </c>
      <c r="N289" s="204"/>
      <c r="O289" s="205"/>
      <c r="P289" s="203">
        <f>SUM(P290:P294)</f>
        <v>0</v>
      </c>
      <c r="Q289" s="204"/>
      <c r="R289" s="205"/>
      <c r="S289" s="203">
        <f>SUM(S290:S294)</f>
        <v>0</v>
      </c>
      <c r="T289" s="204"/>
      <c r="U289" s="205"/>
      <c r="V289" s="199">
        <f t="shared" si="7"/>
        <v>0</v>
      </c>
      <c r="W289" s="200"/>
      <c r="X289" s="200"/>
    </row>
    <row r="290" spans="1:24">
      <c r="A290" s="210" t="s">
        <v>303</v>
      </c>
      <c r="B290" s="210" t="s">
        <v>38</v>
      </c>
      <c r="C290" s="210" t="s">
        <v>38</v>
      </c>
      <c r="D290" s="206">
        <f>SUMIF('PB8'!$J$3:$J$201,"D2.8.1-Staff Costs",'PB8'!$I$3:$I$201)</f>
        <v>0</v>
      </c>
      <c r="E290" s="207"/>
      <c r="F290" s="208"/>
      <c r="G290" s="206">
        <f>SUMIF('PB8'!$J$3:$J$201,"D2.8.1-Office and Administration",'PB8'!$I$3:$I$201)</f>
        <v>0</v>
      </c>
      <c r="H290" s="207"/>
      <c r="I290" s="208"/>
      <c r="J290" s="206">
        <f>SUMIF('PB8'!$J$3:$J$201,"D2.8.1-Travel and Accommodation",'PB8'!$I$3:$I$201)</f>
        <v>0</v>
      </c>
      <c r="K290" s="207"/>
      <c r="L290" s="208"/>
      <c r="M290" s="206">
        <f>SUMIF('PB8'!$J$3:$J$201,"D2.8.1-External Expertise and Services",'PB8'!$I$3:$I$201)</f>
        <v>0</v>
      </c>
      <c r="N290" s="207"/>
      <c r="O290" s="208"/>
      <c r="P290" s="206">
        <f>SUMIF('PB8'!$J$3:$J$201,"D2.8.1-Equipment",'PB8'!$I$3:$I$201)</f>
        <v>0</v>
      </c>
      <c r="Q290" s="207"/>
      <c r="R290" s="208"/>
      <c r="S290" s="206">
        <f>SUMIF('PB8'!$J$3:$J$201,"D2.8.1-Infrastructure and Works",'PB8'!$I$3:$I$201)</f>
        <v>0</v>
      </c>
      <c r="T290" s="207"/>
      <c r="U290" s="208"/>
      <c r="V290" s="201">
        <f t="shared" si="7"/>
        <v>0</v>
      </c>
      <c r="W290" s="202"/>
      <c r="X290" s="202"/>
    </row>
    <row r="291" spans="1:24">
      <c r="A291" s="210" t="s">
        <v>309</v>
      </c>
      <c r="B291" s="210" t="s">
        <v>39</v>
      </c>
      <c r="C291" s="210" t="s">
        <v>39</v>
      </c>
      <c r="D291" s="206">
        <f>SUMIF('PB8'!$J$3:$J$201,"D2.8.2-Staff Costs",'PB8'!$I$3:$I$201)</f>
        <v>0</v>
      </c>
      <c r="E291" s="207"/>
      <c r="F291" s="208"/>
      <c r="G291" s="206">
        <f>SUMIF('PB8'!$J$3:$J$201,"D2.8.2-Office and Administration",'PB8'!$I$3:$I$201)</f>
        <v>0</v>
      </c>
      <c r="H291" s="207"/>
      <c r="I291" s="208"/>
      <c r="J291" s="206">
        <f>SUMIF('PB8'!$J$3:$J$201,"D2.8.2-Travel and Accommodation",'PB8'!$I$3:$I$201)</f>
        <v>0</v>
      </c>
      <c r="K291" s="207"/>
      <c r="L291" s="208"/>
      <c r="M291" s="206">
        <f>SUMIF('PB8'!$J$3:$J$201,"D2.8.2-External Expertise and Services",'PB8'!$I$3:$I$201)</f>
        <v>0</v>
      </c>
      <c r="N291" s="207"/>
      <c r="O291" s="208"/>
      <c r="P291" s="206">
        <f>SUMIF('PB8'!$J$3:$J$201,"D2.8.2-Equipment",'PB8'!$I$3:$I$201)</f>
        <v>0</v>
      </c>
      <c r="Q291" s="207"/>
      <c r="R291" s="208"/>
      <c r="S291" s="206">
        <f>SUMIF('PB8'!$J$3:$J$201,"D2.8.2-Infrastructure and Works",'PB8'!$I$3:$I$201)</f>
        <v>0</v>
      </c>
      <c r="T291" s="207"/>
      <c r="U291" s="208"/>
      <c r="V291" s="201">
        <f t="shared" si="7"/>
        <v>0</v>
      </c>
      <c r="W291" s="202"/>
      <c r="X291" s="202"/>
    </row>
    <row r="292" spans="1:24">
      <c r="A292" s="210" t="s">
        <v>315</v>
      </c>
      <c r="B292" s="210" t="s">
        <v>40</v>
      </c>
      <c r="C292" s="210" t="s">
        <v>40</v>
      </c>
      <c r="D292" s="206">
        <f>SUMIF('PB8'!$J$3:$J$201,"D2.8.3-Staff Costs",'PB8'!$I$3:$I$201)</f>
        <v>0</v>
      </c>
      <c r="E292" s="207"/>
      <c r="F292" s="208"/>
      <c r="G292" s="206">
        <f>SUMIF('PB8'!$J$3:$J$201,"D2.8.3-Office and Administration",'PB8'!$I$3:$I$201)</f>
        <v>0</v>
      </c>
      <c r="H292" s="207"/>
      <c r="I292" s="208"/>
      <c r="J292" s="206">
        <f>SUMIF('PB8'!$J$3:$J$201,"D2.8.3-Travel and Accommodation",'PB8'!$I$3:$I$201)</f>
        <v>0</v>
      </c>
      <c r="K292" s="207"/>
      <c r="L292" s="208"/>
      <c r="M292" s="206">
        <f>SUMIF('PB8'!$J$3:$J$201,"D2.8.3-External Expertise and Services",'PB8'!$I$3:$I$201)</f>
        <v>0</v>
      </c>
      <c r="N292" s="207"/>
      <c r="O292" s="208"/>
      <c r="P292" s="206">
        <f>SUMIF('PB8'!$J$3:$J$201,"D2.8.3-Equipment",'PB8'!$I$3:$I$201)</f>
        <v>0</v>
      </c>
      <c r="Q292" s="207"/>
      <c r="R292" s="208"/>
      <c r="S292" s="206">
        <f>SUMIF('PB8'!$J$3:$J$201,"D2.8.3-Infrastructure and Works",'PB8'!$I$3:$I$201)</f>
        <v>0</v>
      </c>
      <c r="T292" s="207"/>
      <c r="U292" s="208"/>
      <c r="V292" s="201">
        <f t="shared" si="7"/>
        <v>0</v>
      </c>
      <c r="W292" s="202"/>
      <c r="X292" s="202"/>
    </row>
    <row r="293" spans="1:24">
      <c r="A293" s="210" t="s">
        <v>321</v>
      </c>
      <c r="B293" s="210" t="s">
        <v>41</v>
      </c>
      <c r="C293" s="210" t="s">
        <v>41</v>
      </c>
      <c r="D293" s="206">
        <f>SUMIF('PB8'!$J$3:$J$201,"D2.8.4-Staff Costs",'PB8'!$I$3:$I$201)</f>
        <v>0</v>
      </c>
      <c r="E293" s="207"/>
      <c r="F293" s="208"/>
      <c r="G293" s="206">
        <f>SUMIF('PB8'!$J$3:$J$201,"D2.8.4-Office and Administration",'PB8'!$I$3:$I$201)</f>
        <v>0</v>
      </c>
      <c r="H293" s="207"/>
      <c r="I293" s="208"/>
      <c r="J293" s="206">
        <f>SUMIF('PB8'!$J$3:$J$201,"D2.8.4-Travel and Accommodation",'PB8'!$I$3:$I$201)</f>
        <v>0</v>
      </c>
      <c r="K293" s="207"/>
      <c r="L293" s="208"/>
      <c r="M293" s="206">
        <f>SUMIF('PB8'!$J$3:$J$201,"D2.8.4-External Expertise and Services",'PB8'!$I$3:$I$201)</f>
        <v>0</v>
      </c>
      <c r="N293" s="207"/>
      <c r="O293" s="208"/>
      <c r="P293" s="206">
        <f>SUMIF('PB8'!$J$3:$J$201,"D2.8.4-Equipment",'PB8'!$I$3:$I$201)</f>
        <v>0</v>
      </c>
      <c r="Q293" s="207"/>
      <c r="R293" s="208"/>
      <c r="S293" s="206">
        <f>SUMIF('PB8'!$J$3:$J$201,"D2.8.4-Infrastructure and Works",'PB8'!$I$3:$I$201)</f>
        <v>0</v>
      </c>
      <c r="T293" s="207"/>
      <c r="U293" s="208"/>
      <c r="V293" s="201">
        <f t="shared" si="7"/>
        <v>0</v>
      </c>
      <c r="W293" s="202"/>
      <c r="X293" s="202"/>
    </row>
    <row r="294" spans="1:24">
      <c r="A294" s="210" t="s">
        <v>327</v>
      </c>
      <c r="B294" s="210" t="s">
        <v>42</v>
      </c>
      <c r="C294" s="210" t="s">
        <v>42</v>
      </c>
      <c r="D294" s="206">
        <f>SUMIF('PB8'!$J$3:$J$201,"D2.8.5-Staff Costs",'PB8'!$I$3:$I$201)</f>
        <v>0</v>
      </c>
      <c r="E294" s="207"/>
      <c r="F294" s="208"/>
      <c r="G294" s="206">
        <f>SUMIF('PB8'!$J$3:$J$201,"D2.8.5-Office and Administration",'PB8'!$I$3:$I$201)</f>
        <v>0</v>
      </c>
      <c r="H294" s="207"/>
      <c r="I294" s="208"/>
      <c r="J294" s="206">
        <f>SUMIF('PB8'!$J$3:$J$201,"D2.8.5-Travel and Accommodation",'PB8'!$I$3:$I$201)</f>
        <v>0</v>
      </c>
      <c r="K294" s="207"/>
      <c r="L294" s="208"/>
      <c r="M294" s="206">
        <f>SUMIF('PB8'!$J$3:$J$201,"D2.8.5-External Expertise and Services",'PB8'!$I$3:$I$201)</f>
        <v>0</v>
      </c>
      <c r="N294" s="207"/>
      <c r="O294" s="208"/>
      <c r="P294" s="206">
        <f>SUMIF('PB8'!$J$3:$J$201,"D2.8.5-Equipment",'PB8'!$I$3:$I$201)</f>
        <v>0</v>
      </c>
      <c r="Q294" s="207"/>
      <c r="R294" s="208"/>
      <c r="S294" s="206">
        <f>SUMIF('PB8'!$J$3:$J$201,"D2.8.5-Infrastructure and Works",'PB8'!$I$3:$I$201)</f>
        <v>0</v>
      </c>
      <c r="T294" s="207"/>
      <c r="U294" s="208"/>
      <c r="V294" s="201">
        <f t="shared" si="7"/>
        <v>0</v>
      </c>
      <c r="W294" s="202"/>
      <c r="X294" s="202"/>
    </row>
    <row r="295" spans="1:24">
      <c r="A295" s="213" t="s">
        <v>417</v>
      </c>
      <c r="B295" s="213"/>
      <c r="C295" s="213" t="s">
        <v>418</v>
      </c>
      <c r="D295" s="203">
        <f>SUM(D296:D300)</f>
        <v>0</v>
      </c>
      <c r="E295" s="204"/>
      <c r="F295" s="205"/>
      <c r="G295" s="203">
        <f>SUM(G296:G300)</f>
        <v>0</v>
      </c>
      <c r="H295" s="204"/>
      <c r="I295" s="205"/>
      <c r="J295" s="203">
        <f>SUM(J296:J300)</f>
        <v>0</v>
      </c>
      <c r="K295" s="204"/>
      <c r="L295" s="205"/>
      <c r="M295" s="203">
        <f>SUM(M296:M300)</f>
        <v>0</v>
      </c>
      <c r="N295" s="204"/>
      <c r="O295" s="205"/>
      <c r="P295" s="203">
        <f>SUM(P296:P300)</f>
        <v>0</v>
      </c>
      <c r="Q295" s="204"/>
      <c r="R295" s="205"/>
      <c r="S295" s="203">
        <f>SUM(S296:S300)</f>
        <v>0</v>
      </c>
      <c r="T295" s="204"/>
      <c r="U295" s="205"/>
      <c r="V295" s="199">
        <f t="shared" si="7"/>
        <v>0</v>
      </c>
      <c r="W295" s="200"/>
      <c r="X295" s="200"/>
    </row>
    <row r="296" spans="1:24">
      <c r="A296" s="210" t="s">
        <v>304</v>
      </c>
      <c r="B296" s="210" t="s">
        <v>43</v>
      </c>
      <c r="C296" s="210" t="s">
        <v>43</v>
      </c>
      <c r="D296" s="206">
        <f>SUMIF('PB8'!$J$3:$J$201,"D3.8.1-Staff Costs",'PB8'!$I$3:$I$201)</f>
        <v>0</v>
      </c>
      <c r="E296" s="207"/>
      <c r="F296" s="208"/>
      <c r="G296" s="206">
        <f>SUMIF('PB8'!$J$3:$J$201,"D3.8.1-Office and Administration",'PB8'!$I$3:$I$201)</f>
        <v>0</v>
      </c>
      <c r="H296" s="207"/>
      <c r="I296" s="208"/>
      <c r="J296" s="206">
        <f>SUMIF('PB8'!$J$3:$J$201,"D3.8.1-Travel and Accommodation",'PB8'!$I$3:$I$201)</f>
        <v>0</v>
      </c>
      <c r="K296" s="207"/>
      <c r="L296" s="208"/>
      <c r="M296" s="206">
        <f>SUMIF('PB8'!$J$3:$J$201,"D3.8.1-External Expertise and Services",'PB8'!$I$3:$I$201)</f>
        <v>0</v>
      </c>
      <c r="N296" s="207"/>
      <c r="O296" s="208"/>
      <c r="P296" s="206">
        <f>SUMIF('PB8'!$J$3:$J$201,"D3.8.1-Equipment",'PB8'!$I$3:$I$201)</f>
        <v>0</v>
      </c>
      <c r="Q296" s="207"/>
      <c r="R296" s="208"/>
      <c r="S296" s="206">
        <f>SUMIF('PB8'!$J$3:$J$201,"D3.8.1-Infrastructure and Works",'PB8'!$I$3:$I$201)</f>
        <v>0</v>
      </c>
      <c r="T296" s="207"/>
      <c r="U296" s="208"/>
      <c r="V296" s="201">
        <f t="shared" si="7"/>
        <v>0</v>
      </c>
      <c r="W296" s="202"/>
      <c r="X296" s="202"/>
    </row>
    <row r="297" spans="1:24">
      <c r="A297" s="210" t="s">
        <v>310</v>
      </c>
      <c r="B297" s="210" t="s">
        <v>44</v>
      </c>
      <c r="C297" s="210" t="s">
        <v>44</v>
      </c>
      <c r="D297" s="206">
        <f>SUMIF('PB8'!$J$3:$J$201,"D3.8.2-Staff Costs",'PB8'!$I$3:$I$201)</f>
        <v>0</v>
      </c>
      <c r="E297" s="207"/>
      <c r="F297" s="208"/>
      <c r="G297" s="206">
        <f>SUMIF('PB8'!$J$3:$J$201,"D3.8.2-Office and Administration",'PB8'!$I$3:$I$201)</f>
        <v>0</v>
      </c>
      <c r="H297" s="207"/>
      <c r="I297" s="208"/>
      <c r="J297" s="206">
        <f>SUMIF('PB8'!$J$3:$J$201,"D3.8.2-Travel and Accommodation",'PB8'!$I$3:$I$201)</f>
        <v>0</v>
      </c>
      <c r="K297" s="207"/>
      <c r="L297" s="208"/>
      <c r="M297" s="206">
        <f>SUMIF('PB8'!$J$3:$J$201,"D3.8.2-External Expertise and Services",'PB8'!$I$3:$I$201)</f>
        <v>0</v>
      </c>
      <c r="N297" s="207"/>
      <c r="O297" s="208"/>
      <c r="P297" s="206">
        <f>SUMIF('PB8'!$J$3:$J$201,"D3.8.2-Equipment",'PB8'!$I$3:$I$201)</f>
        <v>0</v>
      </c>
      <c r="Q297" s="207"/>
      <c r="R297" s="208"/>
      <c r="S297" s="206">
        <f>SUMIF('PB8'!$J$3:$J$201,"D3.8.2-Infrastructure and Works",'PB8'!$I$3:$I$201)</f>
        <v>0</v>
      </c>
      <c r="T297" s="207"/>
      <c r="U297" s="208"/>
      <c r="V297" s="201">
        <f t="shared" si="7"/>
        <v>0</v>
      </c>
      <c r="W297" s="202"/>
      <c r="X297" s="202"/>
    </row>
    <row r="298" spans="1:24">
      <c r="A298" s="210" t="s">
        <v>316</v>
      </c>
      <c r="B298" s="210" t="s">
        <v>45</v>
      </c>
      <c r="C298" s="210" t="s">
        <v>45</v>
      </c>
      <c r="D298" s="206">
        <f>SUMIF('PB8'!$J$3:$J$201,"D3.8.3-Staff Costs",'PB8'!$I$3:$I$201)</f>
        <v>0</v>
      </c>
      <c r="E298" s="207"/>
      <c r="F298" s="208"/>
      <c r="G298" s="206">
        <f>SUMIF('PB8'!$J$3:$J$201,"D3.8.3-Office and Administration",'PB8'!$I$3:$I$201)</f>
        <v>0</v>
      </c>
      <c r="H298" s="207"/>
      <c r="I298" s="208"/>
      <c r="J298" s="206">
        <f>SUMIF('PB8'!$J$3:$J$201,"D3.8.3-Travel and Accommodation",'PB8'!$I$3:$I$201)</f>
        <v>0</v>
      </c>
      <c r="K298" s="207"/>
      <c r="L298" s="208"/>
      <c r="M298" s="206">
        <f>SUMIF('PB8'!$J$3:$J$201,"D3.8.3-External Expertise and Services",'PB8'!$I$3:$I$201)</f>
        <v>0</v>
      </c>
      <c r="N298" s="207"/>
      <c r="O298" s="208"/>
      <c r="P298" s="206">
        <f>SUMIF('PB8'!$J$3:$J$201,"D3.8.3-Equipment",'PB8'!$I$3:$I$201)</f>
        <v>0</v>
      </c>
      <c r="Q298" s="207"/>
      <c r="R298" s="208"/>
      <c r="S298" s="206">
        <f>SUMIF('PB8'!$J$3:$J$201,"D3.8.3-Infrastructure and Works",'PB8'!$I$3:$I$201)</f>
        <v>0</v>
      </c>
      <c r="T298" s="207"/>
      <c r="U298" s="208"/>
      <c r="V298" s="201">
        <f t="shared" si="7"/>
        <v>0</v>
      </c>
      <c r="W298" s="202"/>
      <c r="X298" s="202"/>
    </row>
    <row r="299" spans="1:24">
      <c r="A299" s="210" t="s">
        <v>322</v>
      </c>
      <c r="B299" s="210" t="s">
        <v>46</v>
      </c>
      <c r="C299" s="210" t="s">
        <v>46</v>
      </c>
      <c r="D299" s="206">
        <f>SUMIF('PB8'!$J$3:$J$201,"D3.8.4-Staff Costs",'PB8'!$I$3:$I$201)</f>
        <v>0</v>
      </c>
      <c r="E299" s="207"/>
      <c r="F299" s="208"/>
      <c r="G299" s="206">
        <f>SUMIF('PB8'!$J$3:$J$201,"D3.8.4-Office and Administration",'PB8'!$I$3:$I$201)</f>
        <v>0</v>
      </c>
      <c r="H299" s="207"/>
      <c r="I299" s="208"/>
      <c r="J299" s="206">
        <f>SUMIF('PB8'!$J$3:$J$201,"D3.8.4-Travel and Accommodation",'PB8'!$I$3:$I$201)</f>
        <v>0</v>
      </c>
      <c r="K299" s="207"/>
      <c r="L299" s="208"/>
      <c r="M299" s="206">
        <f>SUMIF('PB8'!$J$3:$J$201,"D3.8.4-External Expertise and Services",'PB8'!$I$3:$I$201)</f>
        <v>0</v>
      </c>
      <c r="N299" s="207"/>
      <c r="O299" s="208"/>
      <c r="P299" s="206">
        <f>SUMIF('PB8'!$J$3:$J$201,"D3.8.4-Equipment",'PB8'!$I$3:$I$201)</f>
        <v>0</v>
      </c>
      <c r="Q299" s="207"/>
      <c r="R299" s="208"/>
      <c r="S299" s="206">
        <f>SUMIF('PB8'!$J$3:$J$201,"D3.8.4-Infrastructure and Works",'PB8'!$I$3:$I$201)</f>
        <v>0</v>
      </c>
      <c r="T299" s="207"/>
      <c r="U299" s="208"/>
      <c r="V299" s="201">
        <f t="shared" si="7"/>
        <v>0</v>
      </c>
      <c r="W299" s="202"/>
      <c r="X299" s="202"/>
    </row>
    <row r="300" spans="1:24">
      <c r="A300" s="210" t="s">
        <v>328</v>
      </c>
      <c r="B300" s="210" t="s">
        <v>47</v>
      </c>
      <c r="C300" s="210" t="s">
        <v>47</v>
      </c>
      <c r="D300" s="206">
        <f>SUMIF('PB8'!$J$3:$J$201,"D3.8.5-Staff Costs",'PB8'!$I$3:$I$201)</f>
        <v>0</v>
      </c>
      <c r="E300" s="207"/>
      <c r="F300" s="208"/>
      <c r="G300" s="206">
        <f>SUMIF('PB8'!$J$3:$J$201,"D3.8.5-Office and Administration",'PB8'!$I$3:$I$201)</f>
        <v>0</v>
      </c>
      <c r="H300" s="207"/>
      <c r="I300" s="208"/>
      <c r="J300" s="206">
        <f>SUMIF('PB8'!$J$3:$J$201,"D3.8.5-Travel and Accommodation",'PB8'!$I$3:$I$201)</f>
        <v>0</v>
      </c>
      <c r="K300" s="207"/>
      <c r="L300" s="208"/>
      <c r="M300" s="206">
        <f>SUMIF('PB8'!$J$3:$J$201,"D3.8.5-External Expertise and Services",'PB8'!$I$3:$I$201)</f>
        <v>0</v>
      </c>
      <c r="N300" s="207"/>
      <c r="O300" s="208"/>
      <c r="P300" s="206">
        <f>SUMIF('PB8'!$J$3:$J$201,"D3.8.5-Equipment",'PB8'!$I$3:$I$201)</f>
        <v>0</v>
      </c>
      <c r="Q300" s="207"/>
      <c r="R300" s="208"/>
      <c r="S300" s="206">
        <f>SUMIF('PB8'!$J$3:$J$201,"D3.8.5-Infrastructure and Works",'PB8'!$I$3:$I$201)</f>
        <v>0</v>
      </c>
      <c r="T300" s="207"/>
      <c r="U300" s="208"/>
      <c r="V300" s="201">
        <f t="shared" si="7"/>
        <v>0</v>
      </c>
      <c r="W300" s="202"/>
      <c r="X300" s="202"/>
    </row>
    <row r="301" spans="1:24">
      <c r="A301" s="213" t="s">
        <v>419</v>
      </c>
      <c r="B301" s="213"/>
      <c r="C301" s="213" t="s">
        <v>418</v>
      </c>
      <c r="D301" s="203">
        <f>SUM(D302:D306)</f>
        <v>0</v>
      </c>
      <c r="E301" s="204"/>
      <c r="F301" s="205"/>
      <c r="G301" s="203">
        <f>SUM(G302:G306)</f>
        <v>0</v>
      </c>
      <c r="H301" s="204"/>
      <c r="I301" s="205"/>
      <c r="J301" s="203">
        <f>SUM(J302:J306)</f>
        <v>0</v>
      </c>
      <c r="K301" s="204"/>
      <c r="L301" s="205"/>
      <c r="M301" s="203">
        <f>SUM(M302:M306)</f>
        <v>0</v>
      </c>
      <c r="N301" s="204"/>
      <c r="O301" s="205"/>
      <c r="P301" s="203">
        <f>SUM(P302:P306)</f>
        <v>0</v>
      </c>
      <c r="Q301" s="204"/>
      <c r="R301" s="205"/>
      <c r="S301" s="203">
        <f>SUM(S302:S306)</f>
        <v>0</v>
      </c>
      <c r="T301" s="204"/>
      <c r="U301" s="205"/>
      <c r="V301" s="199">
        <f t="shared" si="7"/>
        <v>0</v>
      </c>
      <c r="W301" s="200"/>
      <c r="X301" s="200"/>
    </row>
    <row r="302" spans="1:24">
      <c r="A302" s="210" t="s">
        <v>305</v>
      </c>
      <c r="B302" s="210" t="s">
        <v>48</v>
      </c>
      <c r="C302" s="210" t="s">
        <v>48</v>
      </c>
      <c r="D302" s="206">
        <f>SUMIF('PB8'!$J$3:$J$201,"D4.8.1-Staff Costs",'PB8'!$I$3:$I$201)</f>
        <v>0</v>
      </c>
      <c r="E302" s="207"/>
      <c r="F302" s="208"/>
      <c r="G302" s="206">
        <f>SUMIF('PB8'!$J$3:$J$201,"D4.8.1-Office and Administration",'PB8'!$I$3:$I$201)</f>
        <v>0</v>
      </c>
      <c r="H302" s="207"/>
      <c r="I302" s="208"/>
      <c r="J302" s="206">
        <f>SUMIF('PB8'!$J$3:$J$201,"D4.8.1-Travel and Accommodation",'PB8'!$I$3:$I$201)</f>
        <v>0</v>
      </c>
      <c r="K302" s="207"/>
      <c r="L302" s="208"/>
      <c r="M302" s="206">
        <f>SUMIF('PB8'!$J$3:$J$201,"D4.8.1-External Expertise and Services",'PB8'!$I$3:$I$201)</f>
        <v>0</v>
      </c>
      <c r="N302" s="207"/>
      <c r="O302" s="208"/>
      <c r="P302" s="206">
        <f>SUMIF('PB8'!$J$3:$J$201,"D4.8.1-Equipment",'PB8'!$I$3:$I$201)</f>
        <v>0</v>
      </c>
      <c r="Q302" s="207"/>
      <c r="R302" s="208"/>
      <c r="S302" s="206">
        <f>SUMIF('PB8'!$J$3:$J$201,"D4.8.1-Infrastructure and Works",'PB8'!$I$3:$I$201)</f>
        <v>0</v>
      </c>
      <c r="T302" s="207"/>
      <c r="U302" s="208"/>
      <c r="V302" s="201">
        <f t="shared" si="7"/>
        <v>0</v>
      </c>
      <c r="W302" s="202"/>
      <c r="X302" s="202"/>
    </row>
    <row r="303" spans="1:24">
      <c r="A303" s="210" t="s">
        <v>311</v>
      </c>
      <c r="B303" s="210" t="s">
        <v>49</v>
      </c>
      <c r="C303" s="210" t="s">
        <v>49</v>
      </c>
      <c r="D303" s="206">
        <f>SUMIF('PB8'!$J$3:$J$201,"D4.8.2-Staff Costs",'PB8'!$I$3:$I$201)</f>
        <v>0</v>
      </c>
      <c r="E303" s="207"/>
      <c r="F303" s="208"/>
      <c r="G303" s="206">
        <f>SUMIF('PB8'!$J$3:$J$201,"D4.8.2-Office and Administration",'PB8'!$I$3:$I$201)</f>
        <v>0</v>
      </c>
      <c r="H303" s="207"/>
      <c r="I303" s="208"/>
      <c r="J303" s="206">
        <f>SUMIF('PB8'!$J$3:$J$201,"D4.8.2-Travel and Accommodation",'PB8'!$I$3:$I$201)</f>
        <v>0</v>
      </c>
      <c r="K303" s="207"/>
      <c r="L303" s="208"/>
      <c r="M303" s="206">
        <f>SUMIF('PB8'!$J$3:$J$201,"D4.8.2-External Expertise and Services",'PB8'!$I$3:$I$201)</f>
        <v>0</v>
      </c>
      <c r="N303" s="207"/>
      <c r="O303" s="208"/>
      <c r="P303" s="206">
        <f>SUMIF('PB8'!$J$3:$J$201,"D4.8.2-Equipment",'PB8'!$I$3:$I$201)</f>
        <v>0</v>
      </c>
      <c r="Q303" s="207"/>
      <c r="R303" s="208"/>
      <c r="S303" s="206">
        <f>SUMIF('PB8'!$J$3:$J$201,"D4.8.2-Infrastructure and Works",'PB8'!$I$3:$I$201)</f>
        <v>0</v>
      </c>
      <c r="T303" s="207"/>
      <c r="U303" s="208"/>
      <c r="V303" s="201">
        <f t="shared" si="7"/>
        <v>0</v>
      </c>
      <c r="W303" s="202"/>
      <c r="X303" s="202"/>
    </row>
    <row r="304" spans="1:24">
      <c r="A304" s="210" t="s">
        <v>317</v>
      </c>
      <c r="B304" s="210" t="s">
        <v>50</v>
      </c>
      <c r="C304" s="210" t="s">
        <v>50</v>
      </c>
      <c r="D304" s="206">
        <f>SUMIF('PB8'!$J$3:$J$201,"D4.8.3-Staff Costs",'PB8'!$I$3:$I$201)</f>
        <v>0</v>
      </c>
      <c r="E304" s="207"/>
      <c r="F304" s="208"/>
      <c r="G304" s="206">
        <f>SUMIF('PB8'!$J$3:$J$201,"D4.8.3-Office and Administration",'PB8'!$I$3:$I$201)</f>
        <v>0</v>
      </c>
      <c r="H304" s="207"/>
      <c r="I304" s="208"/>
      <c r="J304" s="206">
        <f>SUMIF('PB8'!$J$3:$J$201,"D4.8.3-Travel and Accommodation",'PB8'!$I$3:$I$201)</f>
        <v>0</v>
      </c>
      <c r="K304" s="207"/>
      <c r="L304" s="208"/>
      <c r="M304" s="206">
        <f>SUMIF('PB8'!$J$3:$J$201,"D4.8.3-External Expertise and Services",'PB8'!$I$3:$I$201)</f>
        <v>0</v>
      </c>
      <c r="N304" s="207"/>
      <c r="O304" s="208"/>
      <c r="P304" s="206">
        <f>SUMIF('PB8'!$J$3:$J$201,"D4.8.3-Equipment",'PB8'!$I$3:$I$201)</f>
        <v>0</v>
      </c>
      <c r="Q304" s="207"/>
      <c r="R304" s="208"/>
      <c r="S304" s="206">
        <f>SUMIF('PB8'!$J$3:$J$201,"D4.8.3-Infrastructure and Works",'PB8'!$I$3:$I$201)</f>
        <v>0</v>
      </c>
      <c r="T304" s="207"/>
      <c r="U304" s="208"/>
      <c r="V304" s="201">
        <f t="shared" si="7"/>
        <v>0</v>
      </c>
      <c r="W304" s="202"/>
      <c r="X304" s="202"/>
    </row>
    <row r="305" spans="1:24">
      <c r="A305" s="210" t="s">
        <v>323</v>
      </c>
      <c r="B305" s="210" t="s">
        <v>51</v>
      </c>
      <c r="C305" s="210" t="s">
        <v>51</v>
      </c>
      <c r="D305" s="206">
        <f>SUMIF('PB8'!$J$3:$J$201,"D4.8.4-Staff Costs",'PB8'!$I$3:$I$201)</f>
        <v>0</v>
      </c>
      <c r="E305" s="207"/>
      <c r="F305" s="208"/>
      <c r="G305" s="206">
        <f>SUMIF('PB8'!$J$3:$J$201,"D4.8.4-Office and Administration",'PB8'!$I$3:$I$201)</f>
        <v>0</v>
      </c>
      <c r="H305" s="207"/>
      <c r="I305" s="208"/>
      <c r="J305" s="206">
        <f>SUMIF('PB8'!$J$3:$J$201,"D4.8.4-Travel and Accommodation",'PB8'!$I$3:$I$201)</f>
        <v>0</v>
      </c>
      <c r="K305" s="207"/>
      <c r="L305" s="208"/>
      <c r="M305" s="206">
        <f>SUMIF('PB8'!$J$3:$J$201,"D4.8.4-External Expertise and Services",'PB8'!$I$3:$I$201)</f>
        <v>0</v>
      </c>
      <c r="N305" s="207"/>
      <c r="O305" s="208"/>
      <c r="P305" s="206">
        <f>SUMIF('PB8'!$J$3:$J$201,"D4.8.4-Equipment",'PB8'!$I$3:$I$201)</f>
        <v>0</v>
      </c>
      <c r="Q305" s="207"/>
      <c r="R305" s="208"/>
      <c r="S305" s="206">
        <f>SUMIF('PB8'!$J$3:$J$201,"D4.8.4-Infrastructure and Works",'PB8'!$I$3:$I$201)</f>
        <v>0</v>
      </c>
      <c r="T305" s="207"/>
      <c r="U305" s="208"/>
      <c r="V305" s="201">
        <f t="shared" si="7"/>
        <v>0</v>
      </c>
      <c r="W305" s="202"/>
      <c r="X305" s="202"/>
    </row>
    <row r="306" spans="1:24">
      <c r="A306" s="210" t="s">
        <v>329</v>
      </c>
      <c r="B306" s="210" t="s">
        <v>52</v>
      </c>
      <c r="C306" s="210" t="s">
        <v>52</v>
      </c>
      <c r="D306" s="206">
        <f>SUMIF('PB8'!$J$3:$J$201,"D4.8.5-Staff Costs",'PB8'!$I$3:$I$201)</f>
        <v>0</v>
      </c>
      <c r="E306" s="207"/>
      <c r="F306" s="208"/>
      <c r="G306" s="206">
        <f>SUMIF('PB8'!$J$3:$J$201,"D4.8.5-Office and Administration",'PB8'!$I$3:$I$201)</f>
        <v>0</v>
      </c>
      <c r="H306" s="207"/>
      <c r="I306" s="208"/>
      <c r="J306" s="206">
        <f>SUMIF('PB8'!$J$3:$J$201,"D4.8.5-Travel and Accommodation",'PB8'!$I$3:$I$201)</f>
        <v>0</v>
      </c>
      <c r="K306" s="207"/>
      <c r="L306" s="208"/>
      <c r="M306" s="206">
        <f>SUMIF('PB8'!$J$3:$J$201,"D4.8.5-External Expertise and Services",'PB8'!$I$3:$I$201)</f>
        <v>0</v>
      </c>
      <c r="N306" s="207"/>
      <c r="O306" s="208"/>
      <c r="P306" s="206">
        <f>SUMIF('PB8'!$J$3:$J$201,"D4.8.5-Equipment",'PB8'!$I$3:$I$201)</f>
        <v>0</v>
      </c>
      <c r="Q306" s="207"/>
      <c r="R306" s="208"/>
      <c r="S306" s="206">
        <f>SUMIF('PB8'!$J$3:$J$201,"D4.8.5-Infrastructure and Works",'PB8'!$I$3:$I$201)</f>
        <v>0</v>
      </c>
      <c r="T306" s="207"/>
      <c r="U306" s="208"/>
      <c r="V306" s="201">
        <f t="shared" si="7"/>
        <v>0</v>
      </c>
      <c r="W306" s="202"/>
      <c r="X306" s="202"/>
    </row>
    <row r="307" spans="1:24">
      <c r="A307" s="213" t="s">
        <v>420</v>
      </c>
      <c r="B307" s="213"/>
      <c r="C307" s="213" t="s">
        <v>418</v>
      </c>
      <c r="D307" s="203">
        <f>SUM(D308:D312)</f>
        <v>0</v>
      </c>
      <c r="E307" s="204"/>
      <c r="F307" s="205"/>
      <c r="G307" s="203">
        <f>SUM(G308:G312)</f>
        <v>0</v>
      </c>
      <c r="H307" s="204"/>
      <c r="I307" s="205"/>
      <c r="J307" s="203">
        <f>SUM(J308:J312)</f>
        <v>0</v>
      </c>
      <c r="K307" s="204"/>
      <c r="L307" s="205"/>
      <c r="M307" s="203">
        <f>SUM(M308:M312)</f>
        <v>0</v>
      </c>
      <c r="N307" s="204"/>
      <c r="O307" s="205"/>
      <c r="P307" s="203">
        <f>SUM(P308:P312)</f>
        <v>0</v>
      </c>
      <c r="Q307" s="204"/>
      <c r="R307" s="205"/>
      <c r="S307" s="203">
        <f>SUM(S308:S312)</f>
        <v>0</v>
      </c>
      <c r="T307" s="204"/>
      <c r="U307" s="205"/>
      <c r="V307" s="199">
        <f t="shared" si="7"/>
        <v>0</v>
      </c>
      <c r="W307" s="200"/>
      <c r="X307" s="200"/>
    </row>
    <row r="308" spans="1:24">
      <c r="A308" s="210" t="s">
        <v>306</v>
      </c>
      <c r="B308" s="210" t="s">
        <v>53</v>
      </c>
      <c r="C308" s="210" t="s">
        <v>53</v>
      </c>
      <c r="D308" s="206">
        <f>SUMIF('PB8'!$J$3:$J$201,"D5.8.1-Staff Costs",'PB8'!$I$3:$I$201)</f>
        <v>0</v>
      </c>
      <c r="E308" s="207"/>
      <c r="F308" s="208"/>
      <c r="G308" s="206">
        <f>SUMIF('PB8'!$J$3:$J$201,"D5.8.1-Office and Administration",'PB8'!$I$3:$I$201)</f>
        <v>0</v>
      </c>
      <c r="H308" s="207"/>
      <c r="I308" s="208"/>
      <c r="J308" s="206">
        <f>SUMIF('PB8'!$J$3:$J$201,"D5.8.1-Travel and Accommodation",'PB8'!$I$3:$I$201)</f>
        <v>0</v>
      </c>
      <c r="K308" s="207"/>
      <c r="L308" s="208"/>
      <c r="M308" s="206">
        <f>SUMIF('PB8'!$J$3:$J$201,"D5.8.1-External Expertise and Services",'PB8'!$I$3:$I$201)</f>
        <v>0</v>
      </c>
      <c r="N308" s="207"/>
      <c r="O308" s="208"/>
      <c r="P308" s="206">
        <f>SUMIF('PB8'!$J$3:$J$201,"D5.8.1-Equipment",'PB8'!$I$3:$I$201)</f>
        <v>0</v>
      </c>
      <c r="Q308" s="207"/>
      <c r="R308" s="208"/>
      <c r="S308" s="206">
        <f>SUMIF('PB8'!$J$3:$J$201,"D5.8.1-Infrastructure and Works",'PB8'!$I$3:$I$201)</f>
        <v>0</v>
      </c>
      <c r="T308" s="207"/>
      <c r="U308" s="208"/>
      <c r="V308" s="201">
        <f t="shared" si="7"/>
        <v>0</v>
      </c>
      <c r="W308" s="202"/>
      <c r="X308" s="202"/>
    </row>
    <row r="309" spans="1:24">
      <c r="A309" s="210" t="s">
        <v>312</v>
      </c>
      <c r="B309" s="210" t="s">
        <v>54</v>
      </c>
      <c r="C309" s="210" t="s">
        <v>54</v>
      </c>
      <c r="D309" s="206">
        <f>SUMIF('PB8'!$J$3:$J$201,"D5.8.2-Staff Costs",'PB8'!$I$3:$I$201)</f>
        <v>0</v>
      </c>
      <c r="E309" s="207"/>
      <c r="F309" s="208"/>
      <c r="G309" s="206">
        <f>SUMIF('PB8'!$J$3:$J$201,"D5.8.2-Office and Administration",'PB8'!$I$3:$I$201)</f>
        <v>0</v>
      </c>
      <c r="H309" s="207"/>
      <c r="I309" s="208"/>
      <c r="J309" s="206">
        <f>SUMIF('PB8'!$J$3:$J$201,"D5.8.2-Travel and Accommodation",'PB8'!$I$3:$I$201)</f>
        <v>0</v>
      </c>
      <c r="K309" s="207"/>
      <c r="L309" s="208"/>
      <c r="M309" s="206">
        <f>SUMIF('PB8'!$J$3:$J$201,"D5.8.2-External Expertise and Services",'PB8'!$I$3:$I$201)</f>
        <v>0</v>
      </c>
      <c r="N309" s="207"/>
      <c r="O309" s="208"/>
      <c r="P309" s="206">
        <f>SUMIF('PB8'!$J$3:$J$201,"D5.8.2-Equipment",'PB8'!$I$3:$I$201)</f>
        <v>0</v>
      </c>
      <c r="Q309" s="207"/>
      <c r="R309" s="208"/>
      <c r="S309" s="206">
        <f>SUMIF('PB8'!$J$3:$J$201,"D5.8.2-Infrastructure and Works",'PB8'!$I$3:$I$201)</f>
        <v>0</v>
      </c>
      <c r="T309" s="207"/>
      <c r="U309" s="208"/>
      <c r="V309" s="201">
        <f t="shared" si="7"/>
        <v>0</v>
      </c>
      <c r="W309" s="202"/>
      <c r="X309" s="202"/>
    </row>
    <row r="310" spans="1:24">
      <c r="A310" s="210" t="s">
        <v>318</v>
      </c>
      <c r="B310" s="210" t="s">
        <v>55</v>
      </c>
      <c r="C310" s="210" t="s">
        <v>55</v>
      </c>
      <c r="D310" s="206">
        <f>SUMIF('PB8'!$J$3:$J$201,"D5.8.3-Staff Costs",'PB8'!$I$3:$I$201)</f>
        <v>0</v>
      </c>
      <c r="E310" s="207"/>
      <c r="F310" s="208"/>
      <c r="G310" s="206">
        <f>SUMIF('PB8'!$J$3:$J$201,"D5.8.3-Office and Administration",'PB8'!$I$3:$I$201)</f>
        <v>0</v>
      </c>
      <c r="H310" s="207"/>
      <c r="I310" s="208"/>
      <c r="J310" s="206">
        <f>SUMIF('PB8'!$J$3:$J$201,"D5.8.3-Travel and Accommodation",'PB8'!$I$3:$I$201)</f>
        <v>0</v>
      </c>
      <c r="K310" s="207"/>
      <c r="L310" s="208"/>
      <c r="M310" s="206">
        <f>SUMIF('PB8'!$J$3:$J$201,"D5.8.3-External Expertise and Services",'PB8'!$I$3:$I$201)</f>
        <v>0</v>
      </c>
      <c r="N310" s="207"/>
      <c r="O310" s="208"/>
      <c r="P310" s="206">
        <f>SUMIF('PB8'!$J$3:$J$201,"D5.8.3-Equipment",'PB8'!$I$3:$I$201)</f>
        <v>0</v>
      </c>
      <c r="Q310" s="207"/>
      <c r="R310" s="208"/>
      <c r="S310" s="206">
        <f>SUMIF('PB8'!$J$3:$J$201,"D5.8.3-Infrastructure and Works",'PB8'!$I$3:$I$201)</f>
        <v>0</v>
      </c>
      <c r="T310" s="207"/>
      <c r="U310" s="208"/>
      <c r="V310" s="201">
        <f t="shared" si="7"/>
        <v>0</v>
      </c>
      <c r="W310" s="202"/>
      <c r="X310" s="202"/>
    </row>
    <row r="311" spans="1:24">
      <c r="A311" s="210" t="s">
        <v>324</v>
      </c>
      <c r="B311" s="210" t="s">
        <v>56</v>
      </c>
      <c r="C311" s="210" t="s">
        <v>56</v>
      </c>
      <c r="D311" s="206">
        <f>SUMIF('PB8'!$J$3:$J$201,"D5.8.4-Staff Costs",'PB8'!$I$3:$I$201)</f>
        <v>0</v>
      </c>
      <c r="E311" s="207"/>
      <c r="F311" s="208"/>
      <c r="G311" s="206">
        <f>SUMIF('PB8'!$J$3:$J$201,"D5.8.4-Office and Administration",'PB8'!$I$3:$I$201)</f>
        <v>0</v>
      </c>
      <c r="H311" s="207"/>
      <c r="I311" s="208"/>
      <c r="J311" s="206">
        <f>SUMIF('PB8'!$J$3:$J$201,"D5.8.4-Travel and Accommodation",'PB8'!$I$3:$I$201)</f>
        <v>0</v>
      </c>
      <c r="K311" s="207"/>
      <c r="L311" s="208"/>
      <c r="M311" s="206">
        <f>SUMIF('PB8'!$J$3:$J$201,"D5.8.4-External Expertise and Services",'PB8'!$I$3:$I$201)</f>
        <v>0</v>
      </c>
      <c r="N311" s="207"/>
      <c r="O311" s="208"/>
      <c r="P311" s="206">
        <f>SUMIF('PB8'!$J$3:$J$201,"D5.8.4-Equipment",'PB8'!$I$3:$I$201)</f>
        <v>0</v>
      </c>
      <c r="Q311" s="207"/>
      <c r="R311" s="208"/>
      <c r="S311" s="206">
        <f>SUMIF('PB8'!$J$3:$J$201,"D5.8.4-Infrastructure and Works",'PB8'!$I$3:$I$201)</f>
        <v>0</v>
      </c>
      <c r="T311" s="207"/>
      <c r="U311" s="208"/>
      <c r="V311" s="201">
        <f t="shared" si="7"/>
        <v>0</v>
      </c>
      <c r="W311" s="202"/>
      <c r="X311" s="202"/>
    </row>
    <row r="312" spans="1:24">
      <c r="A312" s="210" t="s">
        <v>330</v>
      </c>
      <c r="B312" s="210" t="s">
        <v>57</v>
      </c>
      <c r="C312" s="210" t="s">
        <v>57</v>
      </c>
      <c r="D312" s="206">
        <f>SUMIF('PB8'!$J$3:$J$201,"D5.8.5-Staff Costs",'PB8'!$I$3:$I$201)</f>
        <v>0</v>
      </c>
      <c r="E312" s="207"/>
      <c r="F312" s="208"/>
      <c r="G312" s="206">
        <f>SUMIF('PB8'!$J$3:$J$201,"D5.8.5-Office and Administration",'PB8'!$I$3:$I$201)</f>
        <v>0</v>
      </c>
      <c r="H312" s="207"/>
      <c r="I312" s="208"/>
      <c r="J312" s="206">
        <f>SUMIF('PB8'!$J$3:$J$201,"D5.8.5-Travel and Accommodation",'PB8'!$I$3:$I$201)</f>
        <v>0</v>
      </c>
      <c r="K312" s="207"/>
      <c r="L312" s="208"/>
      <c r="M312" s="206">
        <f>SUMIF('PB8'!$J$3:$J$201,"D5.8.5-External Expertise and Services",'PB8'!$I$3:$I$201)</f>
        <v>0</v>
      </c>
      <c r="N312" s="207"/>
      <c r="O312" s="208"/>
      <c r="P312" s="206">
        <f>SUMIF('PB8'!$J$3:$J$201,"D5.8.5-Equipment",'PB8'!$I$3:$I$201)</f>
        <v>0</v>
      </c>
      <c r="Q312" s="207"/>
      <c r="R312" s="208"/>
      <c r="S312" s="206">
        <f>SUMIF('PB8'!$J$3:$J$201,"D5.8.5-Infrastructure and Works",'PB8'!$I$3:$I$201)</f>
        <v>0</v>
      </c>
      <c r="T312" s="207"/>
      <c r="U312" s="208"/>
      <c r="V312" s="201">
        <f t="shared" si="7"/>
        <v>0</v>
      </c>
      <c r="W312" s="202"/>
      <c r="X312" s="202"/>
    </row>
    <row r="313" spans="1:24">
      <c r="A313" s="213" t="s">
        <v>421</v>
      </c>
      <c r="B313" s="213"/>
      <c r="C313" s="213" t="s">
        <v>418</v>
      </c>
      <c r="D313" s="203">
        <f>SUM(D314:D318)</f>
        <v>0</v>
      </c>
      <c r="E313" s="204"/>
      <c r="F313" s="205"/>
      <c r="G313" s="203">
        <f>SUM(G314:G318)</f>
        <v>0</v>
      </c>
      <c r="H313" s="204"/>
      <c r="I313" s="205"/>
      <c r="J313" s="203">
        <f>SUM(J314:J318)</f>
        <v>0</v>
      </c>
      <c r="K313" s="204"/>
      <c r="L313" s="205"/>
      <c r="M313" s="203">
        <f>SUM(M314:M318)</f>
        <v>0</v>
      </c>
      <c r="N313" s="204"/>
      <c r="O313" s="205"/>
      <c r="P313" s="203">
        <f>SUM(P314:P318)</f>
        <v>0</v>
      </c>
      <c r="Q313" s="204"/>
      <c r="R313" s="205"/>
      <c r="S313" s="203">
        <f>SUM(S314:S318)</f>
        <v>0</v>
      </c>
      <c r="T313" s="204"/>
      <c r="U313" s="205"/>
      <c r="V313" s="199">
        <f t="shared" si="7"/>
        <v>0</v>
      </c>
      <c r="W313" s="200"/>
      <c r="X313" s="200"/>
    </row>
    <row r="314" spans="1:24">
      <c r="A314" s="210" t="s">
        <v>307</v>
      </c>
      <c r="B314" s="210" t="s">
        <v>58</v>
      </c>
      <c r="C314" s="210" t="s">
        <v>58</v>
      </c>
      <c r="D314" s="206">
        <f>SUMIF('PB8'!$J$3:$J$201,"D6.8.1-Staff Costs",'PB8'!$I$3:$I$201)</f>
        <v>0</v>
      </c>
      <c r="E314" s="207"/>
      <c r="F314" s="208"/>
      <c r="G314" s="206">
        <f>SUMIF('PB8'!$J$3:$J$201,"D6.8.1-Office and Administration",'PB8'!$I$3:$I$201)</f>
        <v>0</v>
      </c>
      <c r="H314" s="207"/>
      <c r="I314" s="208"/>
      <c r="J314" s="206">
        <f>SUMIF('PB8'!$J$3:$J$201,"D6.8.1-Travel and Accommodation",'PB8'!$I$3:$I$201)</f>
        <v>0</v>
      </c>
      <c r="K314" s="207"/>
      <c r="L314" s="208"/>
      <c r="M314" s="206">
        <f>SUMIF('PB8'!$J$3:$J$201,"D6.8.1-External Expertise and Services",'PB8'!$I$3:$I$201)</f>
        <v>0</v>
      </c>
      <c r="N314" s="207"/>
      <c r="O314" s="208"/>
      <c r="P314" s="206">
        <f>SUMIF('PB8'!$J$3:$J$201,"D6.8.1-Equipment",'PB8'!$I$3:$I$201)</f>
        <v>0</v>
      </c>
      <c r="Q314" s="207"/>
      <c r="R314" s="208"/>
      <c r="S314" s="206">
        <f>SUMIF('PB8'!$J$3:$J$201,"D6.8.1-Infrastructure and Works",'PB8'!$I$3:$I$201)</f>
        <v>0</v>
      </c>
      <c r="T314" s="207"/>
      <c r="U314" s="208"/>
      <c r="V314" s="201">
        <f t="shared" si="7"/>
        <v>0</v>
      </c>
      <c r="W314" s="202"/>
      <c r="X314" s="202"/>
    </row>
    <row r="315" spans="1:24">
      <c r="A315" s="210" t="s">
        <v>313</v>
      </c>
      <c r="B315" s="210" t="s">
        <v>59</v>
      </c>
      <c r="C315" s="210" t="s">
        <v>59</v>
      </c>
      <c r="D315" s="206">
        <f>SUMIF('PB8'!$J$3:$J$201,"D6.8.2-Staff Costs",'PB8'!$I$3:$I$201)</f>
        <v>0</v>
      </c>
      <c r="E315" s="207"/>
      <c r="F315" s="208"/>
      <c r="G315" s="206">
        <f>SUMIF('PB8'!$J$3:$J$201,"D6.8.2-Office and Administration",'PB8'!$I$3:$I$201)</f>
        <v>0</v>
      </c>
      <c r="H315" s="207"/>
      <c r="I315" s="208"/>
      <c r="J315" s="206">
        <f>SUMIF('PB8'!$J$3:$J$201,"D6.8.2-Travel and Accommodation",'PB8'!$I$3:$I$201)</f>
        <v>0</v>
      </c>
      <c r="K315" s="207"/>
      <c r="L315" s="208"/>
      <c r="M315" s="206">
        <f>SUMIF('PB8'!$J$3:$J$201,"D6.8.2-External Expertise and Services",'PB8'!$I$3:$I$201)</f>
        <v>0</v>
      </c>
      <c r="N315" s="207"/>
      <c r="O315" s="208"/>
      <c r="P315" s="206">
        <f>SUMIF('PB8'!$J$3:$J$201,"D6.8.2-Equipment",'PB8'!$I$3:$I$201)</f>
        <v>0</v>
      </c>
      <c r="Q315" s="207"/>
      <c r="R315" s="208"/>
      <c r="S315" s="206">
        <f>SUMIF('PB8'!$J$3:$J$201,"D6.8.2-Infrastructure and Works",'PB8'!$I$3:$I$201)</f>
        <v>0</v>
      </c>
      <c r="T315" s="207"/>
      <c r="U315" s="208"/>
      <c r="V315" s="201">
        <f t="shared" si="7"/>
        <v>0</v>
      </c>
      <c r="W315" s="202"/>
      <c r="X315" s="202"/>
    </row>
    <row r="316" spans="1:24">
      <c r="A316" s="210" t="s">
        <v>319</v>
      </c>
      <c r="B316" s="210" t="s">
        <v>60</v>
      </c>
      <c r="C316" s="210" t="s">
        <v>60</v>
      </c>
      <c r="D316" s="206">
        <f>SUMIF('PB8'!$J$3:$J$201,"D6.8.3-Staff Costs",'PB8'!$I$3:$I$201)</f>
        <v>0</v>
      </c>
      <c r="E316" s="207"/>
      <c r="F316" s="208"/>
      <c r="G316" s="206">
        <f>SUMIF('PB8'!$J$3:$J$201,"D6.8.3-Office and Administration",'PB8'!$I$3:$I$201)</f>
        <v>0</v>
      </c>
      <c r="H316" s="207"/>
      <c r="I316" s="208"/>
      <c r="J316" s="206">
        <f>SUMIF('PB8'!$J$3:$J$201,"D6.8.3-Travel and Accommodation",'PB8'!$I$3:$I$201)</f>
        <v>0</v>
      </c>
      <c r="K316" s="207"/>
      <c r="L316" s="208"/>
      <c r="M316" s="206">
        <f>SUMIF('PB8'!$J$3:$J$201,"D6.8.3-External Expertise and Services",'PB8'!$I$3:$I$201)</f>
        <v>0</v>
      </c>
      <c r="N316" s="207"/>
      <c r="O316" s="208"/>
      <c r="P316" s="206">
        <f>SUMIF('PB8'!$J$3:$J$201,"D6.8.3-Equipment",'PB8'!$I$3:$I$201)</f>
        <v>0</v>
      </c>
      <c r="Q316" s="207"/>
      <c r="R316" s="208"/>
      <c r="S316" s="206">
        <f>SUMIF('PB8'!$J$3:$J$201,"D6.8.3-Infrastructure and Works",'PB8'!$I$3:$I$201)</f>
        <v>0</v>
      </c>
      <c r="T316" s="207"/>
      <c r="U316" s="208"/>
      <c r="V316" s="201">
        <f t="shared" si="7"/>
        <v>0</v>
      </c>
      <c r="W316" s="202"/>
      <c r="X316" s="202"/>
    </row>
    <row r="317" spans="1:24">
      <c r="A317" s="210" t="s">
        <v>325</v>
      </c>
      <c r="B317" s="210" t="s">
        <v>61</v>
      </c>
      <c r="C317" s="210" t="s">
        <v>61</v>
      </c>
      <c r="D317" s="206">
        <f>SUMIF('PB8'!$J$3:$J$201,"D6.8.4-Staff Costs",'PB8'!$I$3:$I$201)</f>
        <v>0</v>
      </c>
      <c r="E317" s="207"/>
      <c r="F317" s="208"/>
      <c r="G317" s="206">
        <f>SUMIF('PB8'!$J$3:$J$201,"D6.8.4-Office and Administration",'PB8'!$I$3:$I$201)</f>
        <v>0</v>
      </c>
      <c r="H317" s="207"/>
      <c r="I317" s="208"/>
      <c r="J317" s="206">
        <f>SUMIF('PB8'!$J$3:$J$201,"D6.8.4-Travel and Accommodation",'PB8'!$I$3:$I$201)</f>
        <v>0</v>
      </c>
      <c r="K317" s="207"/>
      <c r="L317" s="208"/>
      <c r="M317" s="206">
        <f>SUMIF('PB8'!$J$3:$J$201,"D6.8.4-External Expertise and Services",'PB8'!$I$3:$I$201)</f>
        <v>0</v>
      </c>
      <c r="N317" s="207"/>
      <c r="O317" s="208"/>
      <c r="P317" s="206">
        <f>SUMIF('PB8'!$J$3:$J$201,"D6.8.4-Equipment",'PB8'!$I$3:$I$201)</f>
        <v>0</v>
      </c>
      <c r="Q317" s="207"/>
      <c r="R317" s="208"/>
      <c r="S317" s="206">
        <f>SUMIF('PB8'!$J$3:$J$201,"D6.8.4-Infrastructure and Works",'PB8'!$I$3:$I$201)</f>
        <v>0</v>
      </c>
      <c r="T317" s="207"/>
      <c r="U317" s="208"/>
      <c r="V317" s="201">
        <f t="shared" si="7"/>
        <v>0</v>
      </c>
      <c r="W317" s="202"/>
      <c r="X317" s="202"/>
    </row>
    <row r="318" spans="1:24">
      <c r="A318" s="210" t="s">
        <v>331</v>
      </c>
      <c r="B318" s="210"/>
      <c r="C318" s="210"/>
      <c r="D318" s="206">
        <f>SUMIF('PB8'!$J$3:$J$201,"D6.8.5-Staff Costs",'PB8'!$I$3:$I$201)</f>
        <v>0</v>
      </c>
      <c r="E318" s="207"/>
      <c r="F318" s="208"/>
      <c r="G318" s="206">
        <f>SUMIF('PB8'!$J$3:$J$201,"D6.8.5-Office and Administration",'PB8'!$I$3:$I$201)</f>
        <v>0</v>
      </c>
      <c r="H318" s="207"/>
      <c r="I318" s="208"/>
      <c r="J318" s="206">
        <f>SUMIF('PB8'!$J$3:$J$201,"D6.8.5-Travel and Accommodation",'PB8'!$I$3:$I$201)</f>
        <v>0</v>
      </c>
      <c r="K318" s="207"/>
      <c r="L318" s="208"/>
      <c r="M318" s="206">
        <f>SUMIF('PB8'!$J$3:$J$201,"D6.8.5-External Expertise and Services",'PB8'!$I$3:$I$201)</f>
        <v>0</v>
      </c>
      <c r="N318" s="207"/>
      <c r="O318" s="208"/>
      <c r="P318" s="206">
        <f>SUMIF('PB8'!$J$3:$J$201,"D6.8.5-Equipment",'PB8'!$I$3:$I$201)</f>
        <v>0</v>
      </c>
      <c r="Q318" s="207"/>
      <c r="R318" s="208"/>
      <c r="S318" s="206">
        <f>SUMIF('PB8'!$J$3:$J$201,"D6.8.5-Infrastructure and Works",'PB8'!$I$3:$I$201)</f>
        <v>0</v>
      </c>
      <c r="T318" s="207"/>
      <c r="U318" s="208"/>
      <c r="V318" s="201">
        <f t="shared" si="7"/>
        <v>0</v>
      </c>
      <c r="W318" s="202"/>
      <c r="X318" s="202"/>
    </row>
    <row r="319" spans="1:24">
      <c r="A319" s="221" t="s">
        <v>423</v>
      </c>
      <c r="B319" s="221"/>
      <c r="C319" s="221"/>
      <c r="D319" s="224">
        <f>D313+D307+D301+D295+D289+D283</f>
        <v>0</v>
      </c>
      <c r="E319" s="225"/>
      <c r="F319" s="226"/>
      <c r="G319" s="224">
        <f>G313+G307+G301+G295+G289+G283</f>
        <v>0</v>
      </c>
      <c r="H319" s="225"/>
      <c r="I319" s="226"/>
      <c r="J319" s="224">
        <f>J313+J307+J301+J295+J289+J283</f>
        <v>0</v>
      </c>
      <c r="K319" s="225"/>
      <c r="L319" s="226"/>
      <c r="M319" s="224">
        <f>M313+M307+M301+M295+M289+M283</f>
        <v>0</v>
      </c>
      <c r="N319" s="225"/>
      <c r="O319" s="226"/>
      <c r="P319" s="224">
        <f>P313+P307+P301+P295+P289+P283</f>
        <v>0</v>
      </c>
      <c r="Q319" s="225"/>
      <c r="R319" s="226"/>
      <c r="S319" s="224">
        <f>S313+S307+S301+S295+S289+S283</f>
        <v>0</v>
      </c>
      <c r="T319" s="225"/>
      <c r="U319" s="226"/>
      <c r="V319" s="222">
        <f t="shared" si="7"/>
        <v>0</v>
      </c>
      <c r="W319" s="223"/>
      <c r="X319" s="201"/>
    </row>
    <row r="320" spans="1:24"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8"/>
      <c r="W320" s="48"/>
      <c r="X320" s="48"/>
    </row>
    <row r="321" spans="1:24" ht="15" customHeight="1">
      <c r="A321" s="211" t="s">
        <v>503</v>
      </c>
      <c r="B321" s="211"/>
      <c r="C321" s="211"/>
      <c r="D321" s="214" t="s">
        <v>23</v>
      </c>
      <c r="E321" s="215"/>
      <c r="F321" s="216"/>
      <c r="G321" s="214" t="s">
        <v>24</v>
      </c>
      <c r="H321" s="215"/>
      <c r="I321" s="216"/>
      <c r="J321" s="214" t="s">
        <v>474</v>
      </c>
      <c r="K321" s="215"/>
      <c r="L321" s="216"/>
      <c r="M321" s="214" t="s">
        <v>25</v>
      </c>
      <c r="N321" s="215"/>
      <c r="O321" s="216"/>
      <c r="P321" s="214" t="s">
        <v>26</v>
      </c>
      <c r="Q321" s="215"/>
      <c r="R321" s="216"/>
      <c r="S321" s="214" t="s">
        <v>406</v>
      </c>
      <c r="T321" s="215"/>
      <c r="U321" s="216"/>
      <c r="V321" s="220" t="s">
        <v>423</v>
      </c>
      <c r="W321" s="220"/>
      <c r="X321" s="220"/>
    </row>
    <row r="322" spans="1:24" ht="48.75" customHeight="1">
      <c r="A322" s="212">
        <f>'Cover page'!C30</f>
        <v>0</v>
      </c>
      <c r="B322" s="212"/>
      <c r="C322" s="212"/>
      <c r="D322" s="217"/>
      <c r="E322" s="218"/>
      <c r="F322" s="219"/>
      <c r="G322" s="217"/>
      <c r="H322" s="218"/>
      <c r="I322" s="219"/>
      <c r="J322" s="217"/>
      <c r="K322" s="218"/>
      <c r="L322" s="219"/>
      <c r="M322" s="217"/>
      <c r="N322" s="218"/>
      <c r="O322" s="219"/>
      <c r="P322" s="217"/>
      <c r="Q322" s="218"/>
      <c r="R322" s="219"/>
      <c r="S322" s="217"/>
      <c r="T322" s="218"/>
      <c r="U322" s="219"/>
      <c r="V322" s="220"/>
      <c r="W322" s="220"/>
      <c r="X322" s="220"/>
    </row>
    <row r="323" spans="1:24">
      <c r="A323" s="213" t="s">
        <v>415</v>
      </c>
      <c r="B323" s="213"/>
      <c r="C323" s="213"/>
      <c r="D323" s="203">
        <f>SUM(D324:D328)</f>
        <v>0</v>
      </c>
      <c r="E323" s="204"/>
      <c r="F323" s="205"/>
      <c r="G323" s="203">
        <f>SUM(G324:G328)</f>
        <v>0</v>
      </c>
      <c r="H323" s="204"/>
      <c r="I323" s="205"/>
      <c r="J323" s="203">
        <f>SUM(J324:J328)</f>
        <v>0</v>
      </c>
      <c r="K323" s="204"/>
      <c r="L323" s="205"/>
      <c r="M323" s="203">
        <f>SUM(M324:M328)</f>
        <v>0</v>
      </c>
      <c r="N323" s="204"/>
      <c r="O323" s="205"/>
      <c r="P323" s="203">
        <f>SUM(P324:P328)</f>
        <v>0</v>
      </c>
      <c r="Q323" s="204"/>
      <c r="R323" s="205"/>
      <c r="S323" s="203">
        <f>SUM(S324:S328)</f>
        <v>0</v>
      </c>
      <c r="T323" s="204"/>
      <c r="U323" s="205"/>
      <c r="V323" s="199">
        <f t="shared" ref="V323:V359" si="8">SUM(D323:S323)</f>
        <v>0</v>
      </c>
      <c r="W323" s="200"/>
      <c r="X323" s="200"/>
    </row>
    <row r="324" spans="1:24">
      <c r="A324" s="210" t="s">
        <v>338</v>
      </c>
      <c r="B324" s="210"/>
      <c r="C324" s="210"/>
      <c r="D324" s="206">
        <f>SUMIF('PB9'!$J$3:$J$201,"D1.9.1-Staff Costs",'PB9'!$I$3:$I$201)</f>
        <v>0</v>
      </c>
      <c r="E324" s="207"/>
      <c r="F324" s="208"/>
      <c r="G324" s="206">
        <f>SUMIF('PB9'!$J$3:$J$201,"D1.9.1-Office and Administration",'PB9'!$I$3:$I$201)</f>
        <v>0</v>
      </c>
      <c r="H324" s="207"/>
      <c r="I324" s="208"/>
      <c r="J324" s="206">
        <f>SUMIF('PB9'!$J$3:$J$201,"D1.9.1-Travel and Accommodation",'PB9'!$I$3:$I$201)</f>
        <v>0</v>
      </c>
      <c r="K324" s="207"/>
      <c r="L324" s="208"/>
      <c r="M324" s="206">
        <f>SUMIF('PB9'!$J$3:$J$201,"D1.9.1-External Expertise and Services",'PB9'!$I$3:$I$201)</f>
        <v>0</v>
      </c>
      <c r="N324" s="207"/>
      <c r="O324" s="208"/>
      <c r="P324" s="206">
        <f>SUMIF('PB9'!$J$3:$J$201,"D1.9.1-Equipment",'PB9'!$I$3:$I$201)</f>
        <v>0</v>
      </c>
      <c r="Q324" s="207"/>
      <c r="R324" s="208"/>
      <c r="S324" s="206">
        <f>SUMIF('PB9'!$J$3:$J$201,"D1.9.1-Infrastructure and Works",'PB9'!$I$3:$I$201)</f>
        <v>0</v>
      </c>
      <c r="T324" s="207"/>
      <c r="U324" s="208"/>
      <c r="V324" s="201">
        <f t="shared" si="8"/>
        <v>0</v>
      </c>
      <c r="W324" s="202"/>
      <c r="X324" s="202"/>
    </row>
    <row r="325" spans="1:24">
      <c r="A325" s="210" t="s">
        <v>344</v>
      </c>
      <c r="B325" s="210"/>
      <c r="C325" s="210"/>
      <c r="D325" s="206">
        <f>SUMIF('PB9'!$J$3:$J$201,"D1.9.2-Staff Costs",'PB9'!$I$3:$I$201)</f>
        <v>0</v>
      </c>
      <c r="E325" s="207"/>
      <c r="F325" s="208"/>
      <c r="G325" s="206">
        <f>SUMIF('PB9'!$J$3:$J$201,"D1.9.2-Office and Administration",'PB9'!$I$3:$I$201)</f>
        <v>0</v>
      </c>
      <c r="H325" s="207"/>
      <c r="I325" s="208"/>
      <c r="J325" s="206">
        <f>SUMIF('PB9'!$J$3:$J$201,"D1.9.2-Travel and Accommodation",'PB9'!$I$3:$I$201)</f>
        <v>0</v>
      </c>
      <c r="K325" s="207"/>
      <c r="L325" s="208"/>
      <c r="M325" s="206">
        <f>SUMIF('PB9'!$J$3:$J$201,"D1.9.2-External Expertise and Services",'PB9'!$I$3:$I$201)</f>
        <v>0</v>
      </c>
      <c r="N325" s="207"/>
      <c r="O325" s="208"/>
      <c r="P325" s="206">
        <f>SUMIF('PB9'!$J$3:$J$201,"D1.9.2-Equipment",'PB9'!$I$3:$I$201)</f>
        <v>0</v>
      </c>
      <c r="Q325" s="207"/>
      <c r="R325" s="208"/>
      <c r="S325" s="206">
        <f>SUMIF('PB9'!$J$3:$J$201,"D1.9.2-Infrastructure and Works",'PB9'!$I$3:$I$201)</f>
        <v>0</v>
      </c>
      <c r="T325" s="207"/>
      <c r="U325" s="208"/>
      <c r="V325" s="201">
        <f t="shared" si="8"/>
        <v>0</v>
      </c>
      <c r="W325" s="202"/>
      <c r="X325" s="202"/>
    </row>
    <row r="326" spans="1:24">
      <c r="A326" s="210" t="s">
        <v>350</v>
      </c>
      <c r="B326" s="210" t="s">
        <v>35</v>
      </c>
      <c r="C326" s="210" t="s">
        <v>35</v>
      </c>
      <c r="D326" s="206">
        <f>SUMIF('PB9'!$J$3:$J$201,"D1.9.3-Staff Costs",'PB9'!$I$3:$I$201)</f>
        <v>0</v>
      </c>
      <c r="E326" s="207"/>
      <c r="F326" s="208"/>
      <c r="G326" s="206">
        <f>SUMIF('PB9'!$J$3:$J$201,"D1.9.3-Office and Administration",'PB9'!$I$3:$I$201)</f>
        <v>0</v>
      </c>
      <c r="H326" s="207"/>
      <c r="I326" s="208"/>
      <c r="J326" s="206">
        <f>SUMIF('PB9'!$J$3:$J$201,"D1.9.3-Travel and Accommodation",'PB9'!$I$3:$I$201)</f>
        <v>0</v>
      </c>
      <c r="K326" s="207"/>
      <c r="L326" s="208"/>
      <c r="M326" s="206">
        <f>SUMIF('PB9'!$J$3:$J$201,"D1.9.3-External Expertise and Services",'PB9'!$I$3:$I$201)</f>
        <v>0</v>
      </c>
      <c r="N326" s="207"/>
      <c r="O326" s="208"/>
      <c r="P326" s="206">
        <f>SUMIF('PB9'!$J$3:$J$201,"D1.9.3-Equipment",'PB9'!$I$3:$I$201)</f>
        <v>0</v>
      </c>
      <c r="Q326" s="207"/>
      <c r="R326" s="208"/>
      <c r="S326" s="206">
        <f>SUMIF('PB9'!$J$3:$J$201,"D1.9.3-Infrastructure and Works",'PB9'!$I$3:$I$201)</f>
        <v>0</v>
      </c>
      <c r="T326" s="207"/>
      <c r="U326" s="208"/>
      <c r="V326" s="201">
        <f t="shared" si="8"/>
        <v>0</v>
      </c>
      <c r="W326" s="202"/>
      <c r="X326" s="202"/>
    </row>
    <row r="327" spans="1:24">
      <c r="A327" s="210" t="s">
        <v>356</v>
      </c>
      <c r="B327" s="210" t="s">
        <v>36</v>
      </c>
      <c r="C327" s="210" t="s">
        <v>36</v>
      </c>
      <c r="D327" s="206">
        <f>SUMIF('PB9'!$J$3:$J$201,"D1.9.4-Staff Costs",'PB9'!$I$3:$I$201)</f>
        <v>0</v>
      </c>
      <c r="E327" s="207"/>
      <c r="F327" s="208"/>
      <c r="G327" s="206">
        <f>SUMIF('PB9'!$J$3:$J$201,"D1.9.4-Office and Administration",'PB9'!$I$3:$I$201)</f>
        <v>0</v>
      </c>
      <c r="H327" s="207"/>
      <c r="I327" s="208"/>
      <c r="J327" s="206">
        <f>SUMIF('PB9'!$J$3:$J$201,"D1.9.4-Travel and Accommodation",'PB9'!$I$3:$I$201)</f>
        <v>0</v>
      </c>
      <c r="K327" s="207"/>
      <c r="L327" s="208"/>
      <c r="M327" s="206">
        <f>SUMIF('PB9'!$J$3:$J$201,"D1.9.4-External Expertise and Services",'PB9'!$I$3:$I$201)</f>
        <v>0</v>
      </c>
      <c r="N327" s="207"/>
      <c r="O327" s="208"/>
      <c r="P327" s="206">
        <f>SUMIF('PB9'!$J$3:$J$201,"D1.9.4-Equipment",'PB9'!$I$3:$I$201)</f>
        <v>0</v>
      </c>
      <c r="Q327" s="207"/>
      <c r="R327" s="208"/>
      <c r="S327" s="206">
        <f>SUMIF('PB9'!$J$3:$J$201,"D1.9.4-Infrastructure and Works",'PB9'!$I$3:$I$201)</f>
        <v>0</v>
      </c>
      <c r="T327" s="207"/>
      <c r="U327" s="208"/>
      <c r="V327" s="201">
        <f t="shared" si="8"/>
        <v>0</v>
      </c>
      <c r="W327" s="202"/>
      <c r="X327" s="202"/>
    </row>
    <row r="328" spans="1:24">
      <c r="A328" s="210" t="s">
        <v>362</v>
      </c>
      <c r="B328" s="210" t="s">
        <v>37</v>
      </c>
      <c r="C328" s="210" t="s">
        <v>37</v>
      </c>
      <c r="D328" s="206">
        <f>SUMIF('PB9'!$J$3:$J$201,"D1.9.5-Staff Costs",'PB9'!$I$3:$I$201)</f>
        <v>0</v>
      </c>
      <c r="E328" s="207"/>
      <c r="F328" s="208"/>
      <c r="G328" s="206">
        <f>SUMIF('PB9'!$J$3:$J$201,"D1.9.5-Office and Administration",'PB9'!$I$3:$I$201)</f>
        <v>0</v>
      </c>
      <c r="H328" s="207"/>
      <c r="I328" s="208"/>
      <c r="J328" s="206">
        <f>SUMIF('PB9'!$J$3:$J$201,"D1.9.5-Travel and Accommodation",'PB9'!$I$3:$I$201)</f>
        <v>0</v>
      </c>
      <c r="K328" s="207"/>
      <c r="L328" s="208"/>
      <c r="M328" s="206">
        <f>SUMIF('PB9'!$J$3:$J$201,"D1.9.5-External Expertise and Services",'PB9'!$I$3:$I$201)</f>
        <v>0</v>
      </c>
      <c r="N328" s="207"/>
      <c r="O328" s="208"/>
      <c r="P328" s="206">
        <f>SUMIF('PB9'!$J$3:$J$201,"D1.9.5-Equipment",'PB9'!$I$3:$I$201)</f>
        <v>0</v>
      </c>
      <c r="Q328" s="207"/>
      <c r="R328" s="208"/>
      <c r="S328" s="206">
        <f>SUMIF('PB9'!$J$3:$J$201,"D1.9.5-Infrastructure and Works",'PB9'!$I$3:$I$201)</f>
        <v>0</v>
      </c>
      <c r="T328" s="207"/>
      <c r="U328" s="208"/>
      <c r="V328" s="201">
        <f t="shared" si="8"/>
        <v>0</v>
      </c>
      <c r="W328" s="202"/>
      <c r="X328" s="202"/>
    </row>
    <row r="329" spans="1:24">
      <c r="A329" s="213" t="s">
        <v>416</v>
      </c>
      <c r="B329" s="213"/>
      <c r="C329" s="213"/>
      <c r="D329" s="203">
        <f>SUM(D330:D334)</f>
        <v>0</v>
      </c>
      <c r="E329" s="204"/>
      <c r="F329" s="205"/>
      <c r="G329" s="203">
        <f>SUM(G330:G334)</f>
        <v>0</v>
      </c>
      <c r="H329" s="204"/>
      <c r="I329" s="205"/>
      <c r="J329" s="203">
        <f>SUM(J330:J334)</f>
        <v>0</v>
      </c>
      <c r="K329" s="204"/>
      <c r="L329" s="205"/>
      <c r="M329" s="203">
        <f>SUM(M330:M334)</f>
        <v>0</v>
      </c>
      <c r="N329" s="204"/>
      <c r="O329" s="205"/>
      <c r="P329" s="203">
        <f>SUM(P330:P334)</f>
        <v>0</v>
      </c>
      <c r="Q329" s="204"/>
      <c r="R329" s="205"/>
      <c r="S329" s="203">
        <f>SUM(S330:S334)</f>
        <v>0</v>
      </c>
      <c r="T329" s="204"/>
      <c r="U329" s="205"/>
      <c r="V329" s="199">
        <f t="shared" si="8"/>
        <v>0</v>
      </c>
      <c r="W329" s="200"/>
      <c r="X329" s="200"/>
    </row>
    <row r="330" spans="1:24">
      <c r="A330" s="210" t="s">
        <v>339</v>
      </c>
      <c r="B330" s="210" t="s">
        <v>38</v>
      </c>
      <c r="C330" s="210" t="s">
        <v>38</v>
      </c>
      <c r="D330" s="206">
        <f>SUMIF('PB9'!$J$3:$J$201,"D2.9.1-Staff Costs",'PB9'!$I$3:$I$201)</f>
        <v>0</v>
      </c>
      <c r="E330" s="207"/>
      <c r="F330" s="208"/>
      <c r="G330" s="206">
        <f>SUMIF('PB9'!$J$3:$J$201,"D2.9.1-Office and Administration",'PB9'!$I$3:$I$201)</f>
        <v>0</v>
      </c>
      <c r="H330" s="207"/>
      <c r="I330" s="208"/>
      <c r="J330" s="206">
        <f>SUMIF('PB9'!$J$3:$J$201,"D2.9.1-Travel and Accommodation",'PB9'!$I$3:$I$201)</f>
        <v>0</v>
      </c>
      <c r="K330" s="207"/>
      <c r="L330" s="208"/>
      <c r="M330" s="206">
        <f>SUMIF('PB9'!$J$3:$J$201,"D2.9.1-External Expertise and Services",'PB9'!$I$3:$I$201)</f>
        <v>0</v>
      </c>
      <c r="N330" s="207"/>
      <c r="O330" s="208"/>
      <c r="P330" s="206">
        <f>SUMIF('PB9'!$J$3:$J$201,"D2.9.1-Equipment",'PB9'!$I$3:$I$201)</f>
        <v>0</v>
      </c>
      <c r="Q330" s="207"/>
      <c r="R330" s="208"/>
      <c r="S330" s="206">
        <f>SUMIF('PB9'!$J$3:$J$201,"D2.9.1-Infrastructure and Works",'PB9'!$I$3:$I$201)</f>
        <v>0</v>
      </c>
      <c r="T330" s="207"/>
      <c r="U330" s="208"/>
      <c r="V330" s="201">
        <f t="shared" si="8"/>
        <v>0</v>
      </c>
      <c r="W330" s="202"/>
      <c r="X330" s="202"/>
    </row>
    <row r="331" spans="1:24">
      <c r="A331" s="210" t="s">
        <v>345</v>
      </c>
      <c r="B331" s="210" t="s">
        <v>39</v>
      </c>
      <c r="C331" s="210" t="s">
        <v>39</v>
      </c>
      <c r="D331" s="206">
        <f>SUMIF('PB9'!$J$3:$J$201,"D2.9.2-Staff Costs",'PB9'!$I$3:$I$201)</f>
        <v>0</v>
      </c>
      <c r="E331" s="207"/>
      <c r="F331" s="208"/>
      <c r="G331" s="206">
        <f>SUMIF('PB9'!$J$3:$J$201,"D2.9.2-Office and Administration",'PB9'!$I$3:$I$201)</f>
        <v>0</v>
      </c>
      <c r="H331" s="207"/>
      <c r="I331" s="208"/>
      <c r="J331" s="206">
        <f>SUMIF('PB9'!$J$3:$J$201,"D2.9.2-Travel and Accommodation",'PB9'!$I$3:$I$201)</f>
        <v>0</v>
      </c>
      <c r="K331" s="207"/>
      <c r="L331" s="208"/>
      <c r="M331" s="206">
        <f>SUMIF('PB9'!$J$3:$J$201,"D2.9.2-External Expertise and Services",'PB9'!$I$3:$I$201)</f>
        <v>0</v>
      </c>
      <c r="N331" s="207"/>
      <c r="O331" s="208"/>
      <c r="P331" s="206">
        <f>SUMIF('PB9'!$J$3:$J$201,"D2.9.2-Equipment",'PB9'!$I$3:$I$201)</f>
        <v>0</v>
      </c>
      <c r="Q331" s="207"/>
      <c r="R331" s="208"/>
      <c r="S331" s="206">
        <f>SUMIF('PB9'!$J$3:$J$201,"D2.9.2-Infrastructure and Works",'PB9'!$I$3:$I$201)</f>
        <v>0</v>
      </c>
      <c r="T331" s="207"/>
      <c r="U331" s="208"/>
      <c r="V331" s="201">
        <f t="shared" si="8"/>
        <v>0</v>
      </c>
      <c r="W331" s="202"/>
      <c r="X331" s="202"/>
    </row>
    <row r="332" spans="1:24">
      <c r="A332" s="210" t="s">
        <v>351</v>
      </c>
      <c r="B332" s="210" t="s">
        <v>40</v>
      </c>
      <c r="C332" s="210" t="s">
        <v>40</v>
      </c>
      <c r="D332" s="206">
        <f>SUMIF('PB9'!$J$3:$J$201,"D2.9.3-Staff Costs",'PB9'!$I$3:$I$201)</f>
        <v>0</v>
      </c>
      <c r="E332" s="207"/>
      <c r="F332" s="208"/>
      <c r="G332" s="206">
        <f>SUMIF('PB9'!$J$3:$J$201,"D2.9.3-Office and Administration",'PB9'!$I$3:$I$201)</f>
        <v>0</v>
      </c>
      <c r="H332" s="207"/>
      <c r="I332" s="208"/>
      <c r="J332" s="206">
        <f>SUMIF('PB9'!$J$3:$J$201,"D2.9.3-Travel and Accommodation",'PB9'!$I$3:$I$201)</f>
        <v>0</v>
      </c>
      <c r="K332" s="207"/>
      <c r="L332" s="208"/>
      <c r="M332" s="206">
        <f>SUMIF('PB9'!$J$3:$J$201,"D2.9.3-External Expertise and Services",'PB9'!$I$3:$I$201)</f>
        <v>0</v>
      </c>
      <c r="N332" s="207"/>
      <c r="O332" s="208"/>
      <c r="P332" s="206">
        <f>SUMIF('PB9'!$J$3:$J$201,"D2.9.3-Equipment",'PB9'!$I$3:$I$201)</f>
        <v>0</v>
      </c>
      <c r="Q332" s="207"/>
      <c r="R332" s="208"/>
      <c r="S332" s="206">
        <f>SUMIF('PB9'!$J$3:$J$201,"D2.9.3-Infrastructure and Works",'PB9'!$I$3:$I$201)</f>
        <v>0</v>
      </c>
      <c r="T332" s="207"/>
      <c r="U332" s="208"/>
      <c r="V332" s="201">
        <f t="shared" si="8"/>
        <v>0</v>
      </c>
      <c r="W332" s="202"/>
      <c r="X332" s="202"/>
    </row>
    <row r="333" spans="1:24">
      <c r="A333" s="210" t="s">
        <v>357</v>
      </c>
      <c r="B333" s="210" t="s">
        <v>41</v>
      </c>
      <c r="C333" s="210" t="s">
        <v>41</v>
      </c>
      <c r="D333" s="206">
        <f>SUMIF('PB9'!$J$3:$J$201,"D2.9.4-Staff Costs",'PB9'!$I$3:$I$201)</f>
        <v>0</v>
      </c>
      <c r="E333" s="207"/>
      <c r="F333" s="208"/>
      <c r="G333" s="206">
        <f>SUMIF('PB9'!$J$3:$J$201,"D2.9.4-Office and Administration",'PB9'!$I$3:$I$201)</f>
        <v>0</v>
      </c>
      <c r="H333" s="207"/>
      <c r="I333" s="208"/>
      <c r="J333" s="206">
        <f>SUMIF('PB9'!$J$3:$J$201,"D2.9.4-Travel and Accommodation",'PB9'!$I$3:$I$201)</f>
        <v>0</v>
      </c>
      <c r="K333" s="207"/>
      <c r="L333" s="208"/>
      <c r="M333" s="206">
        <f>SUMIF('PB9'!$J$3:$J$201,"D2.9.4-External Expertise and Services",'PB9'!$I$3:$I$201)</f>
        <v>0</v>
      </c>
      <c r="N333" s="207"/>
      <c r="O333" s="208"/>
      <c r="P333" s="206">
        <f>SUMIF('PB9'!$J$3:$J$201,"D2.9.4-Equipment",'PB9'!$I$3:$I$201)</f>
        <v>0</v>
      </c>
      <c r="Q333" s="207"/>
      <c r="R333" s="208"/>
      <c r="S333" s="206">
        <f>SUMIF('PB9'!$J$3:$J$201,"D2.9.4-Infrastructure and Works",'PB9'!$I$3:$I$201)</f>
        <v>0</v>
      </c>
      <c r="T333" s="207"/>
      <c r="U333" s="208"/>
      <c r="V333" s="201">
        <f t="shared" si="8"/>
        <v>0</v>
      </c>
      <c r="W333" s="202"/>
      <c r="X333" s="202"/>
    </row>
    <row r="334" spans="1:24">
      <c r="A334" s="210" t="s">
        <v>363</v>
      </c>
      <c r="B334" s="210" t="s">
        <v>42</v>
      </c>
      <c r="C334" s="210" t="s">
        <v>42</v>
      </c>
      <c r="D334" s="206">
        <f>SUMIF('PB9'!$J$3:$J$201,"D2.9.5-Staff Costs",'PB9'!$I$3:$I$201)</f>
        <v>0</v>
      </c>
      <c r="E334" s="207"/>
      <c r="F334" s="208"/>
      <c r="G334" s="206">
        <f>SUMIF('PB9'!$J$3:$J$201,"D2.9.5-Office and Administration",'PB9'!$I$3:$I$201)</f>
        <v>0</v>
      </c>
      <c r="H334" s="207"/>
      <c r="I334" s="208"/>
      <c r="J334" s="206">
        <f>SUMIF('PB9'!$J$3:$J$201,"D2.9.5-Travel and Accommodation",'PB9'!$I$3:$I$201)</f>
        <v>0</v>
      </c>
      <c r="K334" s="207"/>
      <c r="L334" s="208"/>
      <c r="M334" s="206">
        <f>SUMIF('PB9'!$J$3:$J$201,"D2.9.5-External Expertise and Services",'PB9'!$I$3:$I$201)</f>
        <v>0</v>
      </c>
      <c r="N334" s="207"/>
      <c r="O334" s="208"/>
      <c r="P334" s="206">
        <f>SUMIF('PB9'!$J$3:$J$201,"D2.9.5-Equipment",'PB9'!$I$3:$I$201)</f>
        <v>0</v>
      </c>
      <c r="Q334" s="207"/>
      <c r="R334" s="208"/>
      <c r="S334" s="206">
        <f>SUMIF('PB9'!$J$3:$J$201,"D2.9.5-Infrastructure and Works",'PB9'!$I$3:$I$201)</f>
        <v>0</v>
      </c>
      <c r="T334" s="207"/>
      <c r="U334" s="208"/>
      <c r="V334" s="201">
        <f t="shared" si="8"/>
        <v>0</v>
      </c>
      <c r="W334" s="202"/>
      <c r="X334" s="202"/>
    </row>
    <row r="335" spans="1:24">
      <c r="A335" s="213" t="s">
        <v>417</v>
      </c>
      <c r="B335" s="213"/>
      <c r="C335" s="213" t="s">
        <v>418</v>
      </c>
      <c r="D335" s="203">
        <f>SUM(D336:D340)</f>
        <v>0</v>
      </c>
      <c r="E335" s="204"/>
      <c r="F335" s="205"/>
      <c r="G335" s="203">
        <f>SUM(G336:G340)</f>
        <v>0</v>
      </c>
      <c r="H335" s="204"/>
      <c r="I335" s="205"/>
      <c r="J335" s="203">
        <f>SUM(J336:J340)</f>
        <v>0</v>
      </c>
      <c r="K335" s="204"/>
      <c r="L335" s="205"/>
      <c r="M335" s="203">
        <f>SUM(M336:M340)</f>
        <v>0</v>
      </c>
      <c r="N335" s="204"/>
      <c r="O335" s="205"/>
      <c r="P335" s="203">
        <f>SUM(P336:P340)</f>
        <v>0</v>
      </c>
      <c r="Q335" s="204"/>
      <c r="R335" s="205"/>
      <c r="S335" s="203">
        <f>SUM(S336:S340)</f>
        <v>0</v>
      </c>
      <c r="T335" s="204"/>
      <c r="U335" s="205"/>
      <c r="V335" s="199">
        <f t="shared" si="8"/>
        <v>0</v>
      </c>
      <c r="W335" s="200"/>
      <c r="X335" s="200"/>
    </row>
    <row r="336" spans="1:24">
      <c r="A336" s="210" t="s">
        <v>340</v>
      </c>
      <c r="B336" s="210" t="s">
        <v>43</v>
      </c>
      <c r="C336" s="210" t="s">
        <v>43</v>
      </c>
      <c r="D336" s="206">
        <f>SUMIF('PB9'!$J$3:$J$201,"D3.9.1-Staff Costs",'PB9'!$I$3:$I$201)</f>
        <v>0</v>
      </c>
      <c r="E336" s="207"/>
      <c r="F336" s="208"/>
      <c r="G336" s="206">
        <f>SUMIF('PB9'!$J$3:$J$201,"D3.9.1-Office and Administration",'PB9'!$I$3:$I$201)</f>
        <v>0</v>
      </c>
      <c r="H336" s="207"/>
      <c r="I336" s="208"/>
      <c r="J336" s="206">
        <f>SUMIF('PB9'!$J$3:$J$201,"D3.9.1-Travel and Accommodation",'PB9'!$I$3:$I$201)</f>
        <v>0</v>
      </c>
      <c r="K336" s="207"/>
      <c r="L336" s="208"/>
      <c r="M336" s="206">
        <f>SUMIF('PB9'!$J$3:$J$201,"D3.9.1-External Expertise and Services",'PB9'!$I$3:$I$201)</f>
        <v>0</v>
      </c>
      <c r="N336" s="207"/>
      <c r="O336" s="208"/>
      <c r="P336" s="206">
        <f>SUMIF('PB9'!$J$3:$J$201,"D3.9.1-Equipment",'PB9'!$I$3:$I$201)</f>
        <v>0</v>
      </c>
      <c r="Q336" s="207"/>
      <c r="R336" s="208"/>
      <c r="S336" s="206">
        <f>SUMIF('PB9'!$J$3:$J$201,"D3.9.1-Infrastructure and Works",'PB9'!$I$3:$I$201)</f>
        <v>0</v>
      </c>
      <c r="T336" s="207"/>
      <c r="U336" s="208"/>
      <c r="V336" s="201">
        <f t="shared" si="8"/>
        <v>0</v>
      </c>
      <c r="W336" s="202"/>
      <c r="X336" s="202"/>
    </row>
    <row r="337" spans="1:24">
      <c r="A337" s="210" t="s">
        <v>346</v>
      </c>
      <c r="B337" s="210" t="s">
        <v>44</v>
      </c>
      <c r="C337" s="210" t="s">
        <v>44</v>
      </c>
      <c r="D337" s="206">
        <f>SUMIF('PB9'!$J$3:$J$201,"D3.9.2-Staff Costs",'PB9'!$I$3:$I$201)</f>
        <v>0</v>
      </c>
      <c r="E337" s="207"/>
      <c r="F337" s="208"/>
      <c r="G337" s="206">
        <f>SUMIF('PB9'!$J$3:$J$201,"D3.9.2-Office and Administration",'PB9'!$I$3:$I$201)</f>
        <v>0</v>
      </c>
      <c r="H337" s="207"/>
      <c r="I337" s="208"/>
      <c r="J337" s="206">
        <f>SUMIF('PB9'!$J$3:$J$201,"D3.9.2-Travel and Accommodation",'PB9'!$I$3:$I$201)</f>
        <v>0</v>
      </c>
      <c r="K337" s="207"/>
      <c r="L337" s="208"/>
      <c r="M337" s="206">
        <f>SUMIF('PB9'!$J$3:$J$201,"D3.9.2-External Expertise and Services",'PB9'!$I$3:$I$201)</f>
        <v>0</v>
      </c>
      <c r="N337" s="207"/>
      <c r="O337" s="208"/>
      <c r="P337" s="206">
        <f>SUMIF('PB9'!$J$3:$J$201,"D3.9.2-Equipment",'PB9'!$I$3:$I$201)</f>
        <v>0</v>
      </c>
      <c r="Q337" s="207"/>
      <c r="R337" s="208"/>
      <c r="S337" s="206">
        <f>SUMIF('PB9'!$J$3:$J$201,"D3.9.2-Infrastructure and Works",'PB9'!$I$3:$I$201)</f>
        <v>0</v>
      </c>
      <c r="T337" s="207"/>
      <c r="U337" s="208"/>
      <c r="V337" s="201">
        <f t="shared" si="8"/>
        <v>0</v>
      </c>
      <c r="W337" s="202"/>
      <c r="X337" s="202"/>
    </row>
    <row r="338" spans="1:24">
      <c r="A338" s="210" t="s">
        <v>352</v>
      </c>
      <c r="B338" s="210" t="s">
        <v>45</v>
      </c>
      <c r="C338" s="210" t="s">
        <v>45</v>
      </c>
      <c r="D338" s="206">
        <f>SUMIF('PB9'!$J$3:$J$201,"D3.9.3-Staff Costs",'PB9'!$I$3:$I$201)</f>
        <v>0</v>
      </c>
      <c r="E338" s="207"/>
      <c r="F338" s="208"/>
      <c r="G338" s="206">
        <f>SUMIF('PB9'!$J$3:$J$201,"D3.9.3-Office and Administration",'PB9'!$I$3:$I$201)</f>
        <v>0</v>
      </c>
      <c r="H338" s="207"/>
      <c r="I338" s="208"/>
      <c r="J338" s="206">
        <f>SUMIF('PB9'!$J$3:$J$201,"D3.9.3-Travel and Accommodation",'PB9'!$I$3:$I$201)</f>
        <v>0</v>
      </c>
      <c r="K338" s="207"/>
      <c r="L338" s="208"/>
      <c r="M338" s="206">
        <f>SUMIF('PB9'!$J$3:$J$201,"D3.9.3-External Expertise and Services",'PB9'!$I$3:$I$201)</f>
        <v>0</v>
      </c>
      <c r="N338" s="207"/>
      <c r="O338" s="208"/>
      <c r="P338" s="206">
        <f>SUMIF('PB9'!$J$3:$J$201,"D3.9.3-Equipment",'PB9'!$I$3:$I$201)</f>
        <v>0</v>
      </c>
      <c r="Q338" s="207"/>
      <c r="R338" s="208"/>
      <c r="S338" s="206">
        <f>SUMIF('PB9'!$J$3:$J$201,"D3.9.3-Infrastructure and Works",'PB9'!$I$3:$I$201)</f>
        <v>0</v>
      </c>
      <c r="T338" s="207"/>
      <c r="U338" s="208"/>
      <c r="V338" s="201">
        <f t="shared" si="8"/>
        <v>0</v>
      </c>
      <c r="W338" s="202"/>
      <c r="X338" s="202"/>
    </row>
    <row r="339" spans="1:24">
      <c r="A339" s="210" t="s">
        <v>358</v>
      </c>
      <c r="B339" s="210" t="s">
        <v>46</v>
      </c>
      <c r="C339" s="210" t="s">
        <v>46</v>
      </c>
      <c r="D339" s="206">
        <f>SUMIF('PB9'!$J$3:$J$201,"D3.9.4-Staff Costs",'PB9'!$I$3:$I$201)</f>
        <v>0</v>
      </c>
      <c r="E339" s="207"/>
      <c r="F339" s="208"/>
      <c r="G339" s="206">
        <f>SUMIF('PB9'!$J$3:$J$201,"D3.9.4-Office and Administration",'PB9'!$I$3:$I$201)</f>
        <v>0</v>
      </c>
      <c r="H339" s="207"/>
      <c r="I339" s="208"/>
      <c r="J339" s="206">
        <f>SUMIF('PB9'!$J$3:$J$201,"D3.9.4-Travel and Accommodation",'PB9'!$I$3:$I$201)</f>
        <v>0</v>
      </c>
      <c r="K339" s="207"/>
      <c r="L339" s="208"/>
      <c r="M339" s="206">
        <f>SUMIF('PB9'!$J$3:$J$201,"D3.9.4-External Expertise and Services",'PB9'!$I$3:$I$201)</f>
        <v>0</v>
      </c>
      <c r="N339" s="207"/>
      <c r="O339" s="208"/>
      <c r="P339" s="206">
        <f>SUMIF('PB9'!$J$3:$J$201,"D3.9.4-Equipment",'PB9'!$I$3:$I$201)</f>
        <v>0</v>
      </c>
      <c r="Q339" s="207"/>
      <c r="R339" s="208"/>
      <c r="S339" s="206">
        <f>SUMIF('PB9'!$J$3:$J$201,"D3.9.4-Infrastructure and Works",'PB9'!$I$3:$I$201)</f>
        <v>0</v>
      </c>
      <c r="T339" s="207"/>
      <c r="U339" s="208"/>
      <c r="V339" s="201">
        <f t="shared" si="8"/>
        <v>0</v>
      </c>
      <c r="W339" s="202"/>
      <c r="X339" s="202"/>
    </row>
    <row r="340" spans="1:24">
      <c r="A340" s="210" t="s">
        <v>364</v>
      </c>
      <c r="B340" s="210" t="s">
        <v>47</v>
      </c>
      <c r="C340" s="210" t="s">
        <v>47</v>
      </c>
      <c r="D340" s="206">
        <f>SUMIF('PB9'!$J$3:$J$201,"D3.9.5-Staff Costs",'PB9'!$I$3:$I$201)</f>
        <v>0</v>
      </c>
      <c r="E340" s="207"/>
      <c r="F340" s="208"/>
      <c r="G340" s="206">
        <f>SUMIF('PB9'!$J$3:$J$201,"D3.9.5-Office and Administration",'PB9'!$I$3:$I$201)</f>
        <v>0</v>
      </c>
      <c r="H340" s="207"/>
      <c r="I340" s="208"/>
      <c r="J340" s="206">
        <f>SUMIF('PB9'!$J$3:$J$201,"D3.9.5-Travel and Accommodation",'PB9'!$I$3:$I$201)</f>
        <v>0</v>
      </c>
      <c r="K340" s="207"/>
      <c r="L340" s="208"/>
      <c r="M340" s="206">
        <f>SUMIF('PB9'!$J$3:$J$201,"D3.9.5-External Expertise and Services",'PB9'!$I$3:$I$201)</f>
        <v>0</v>
      </c>
      <c r="N340" s="207"/>
      <c r="O340" s="208"/>
      <c r="P340" s="206">
        <f>SUMIF('PB9'!$J$3:$J$201,"D3.9.5-Equipment",'PB9'!$I$3:$I$201)</f>
        <v>0</v>
      </c>
      <c r="Q340" s="207"/>
      <c r="R340" s="208"/>
      <c r="S340" s="206">
        <f>SUMIF('PB9'!$J$3:$J$201,"D3.9.5-Infrastructure and Works",'PB9'!$I$3:$I$201)</f>
        <v>0</v>
      </c>
      <c r="T340" s="207"/>
      <c r="U340" s="208"/>
      <c r="V340" s="201">
        <f t="shared" si="8"/>
        <v>0</v>
      </c>
      <c r="W340" s="202"/>
      <c r="X340" s="202"/>
    </row>
    <row r="341" spans="1:24">
      <c r="A341" s="213" t="s">
        <v>419</v>
      </c>
      <c r="B341" s="213"/>
      <c r="C341" s="213" t="s">
        <v>418</v>
      </c>
      <c r="D341" s="203">
        <f>SUM(D342:D346)</f>
        <v>0</v>
      </c>
      <c r="E341" s="204"/>
      <c r="F341" s="205"/>
      <c r="G341" s="203">
        <f>SUM(G342:G346)</f>
        <v>0</v>
      </c>
      <c r="H341" s="204"/>
      <c r="I341" s="205"/>
      <c r="J341" s="203">
        <f>SUM(J342:J346)</f>
        <v>0</v>
      </c>
      <c r="K341" s="204"/>
      <c r="L341" s="205"/>
      <c r="M341" s="203">
        <f>SUM(M342:M346)</f>
        <v>0</v>
      </c>
      <c r="N341" s="204"/>
      <c r="O341" s="205"/>
      <c r="P341" s="203">
        <f>SUM(P342:P346)</f>
        <v>0</v>
      </c>
      <c r="Q341" s="204"/>
      <c r="R341" s="205"/>
      <c r="S341" s="203">
        <f>SUM(S342:S346)</f>
        <v>0</v>
      </c>
      <c r="T341" s="204"/>
      <c r="U341" s="205"/>
      <c r="V341" s="199">
        <f t="shared" si="8"/>
        <v>0</v>
      </c>
      <c r="W341" s="200"/>
      <c r="X341" s="200"/>
    </row>
    <row r="342" spans="1:24">
      <c r="A342" s="210" t="s">
        <v>341</v>
      </c>
      <c r="B342" s="210" t="s">
        <v>48</v>
      </c>
      <c r="C342" s="210" t="s">
        <v>48</v>
      </c>
      <c r="D342" s="206">
        <f>SUMIF('PB9'!$J$3:$J$201,"D4.9.1-Staff Costs",'PB9'!$I$3:$I$201)</f>
        <v>0</v>
      </c>
      <c r="E342" s="207"/>
      <c r="F342" s="208"/>
      <c r="G342" s="206">
        <f>SUMIF('PB9'!$J$3:$J$201,"D4.9.1-Office and Administration",'PB9'!$I$3:$I$201)</f>
        <v>0</v>
      </c>
      <c r="H342" s="207"/>
      <c r="I342" s="208"/>
      <c r="J342" s="206">
        <f>SUMIF('PB9'!$J$3:$J$201,"D4.9.1-Travel and Accommodation",'PB9'!$I$3:$I$201)</f>
        <v>0</v>
      </c>
      <c r="K342" s="207"/>
      <c r="L342" s="208"/>
      <c r="M342" s="206">
        <f>SUMIF('PB9'!$J$3:$J$201,"D4.9.1-External Expertise and Services",'PB9'!$I$3:$I$201)</f>
        <v>0</v>
      </c>
      <c r="N342" s="207"/>
      <c r="O342" s="208"/>
      <c r="P342" s="206">
        <f>SUMIF('PB9'!$J$3:$J$201,"D4.9.1-Equipment",'PB9'!$I$3:$I$201)</f>
        <v>0</v>
      </c>
      <c r="Q342" s="207"/>
      <c r="R342" s="208"/>
      <c r="S342" s="206">
        <f>SUMIF('PB9'!$J$3:$J$201,"D4.9.1-Infrastructure and Works",'PB9'!$I$3:$I$201)</f>
        <v>0</v>
      </c>
      <c r="T342" s="207"/>
      <c r="U342" s="208"/>
      <c r="V342" s="201">
        <f t="shared" si="8"/>
        <v>0</v>
      </c>
      <c r="W342" s="202"/>
      <c r="X342" s="202"/>
    </row>
    <row r="343" spans="1:24">
      <c r="A343" s="210" t="s">
        <v>347</v>
      </c>
      <c r="B343" s="210" t="s">
        <v>49</v>
      </c>
      <c r="C343" s="210" t="s">
        <v>49</v>
      </c>
      <c r="D343" s="206">
        <f>SUMIF('PB9'!$J$3:$J$201,"D4.9.2-Staff Costs",'PB9'!$I$3:$I$201)</f>
        <v>0</v>
      </c>
      <c r="E343" s="207"/>
      <c r="F343" s="208"/>
      <c r="G343" s="206">
        <f>SUMIF('PB9'!$J$3:$J$201,"D4.9.2-Office and Administration",'PB9'!$I$3:$I$201)</f>
        <v>0</v>
      </c>
      <c r="H343" s="207"/>
      <c r="I343" s="208"/>
      <c r="J343" s="206">
        <f>SUMIF('PB9'!$J$3:$J$201,"D4.9.2-Travel and Accommodation",'PB9'!$I$3:$I$201)</f>
        <v>0</v>
      </c>
      <c r="K343" s="207"/>
      <c r="L343" s="208"/>
      <c r="M343" s="206">
        <f>SUMIF('PB9'!$J$3:$J$201,"D4.9.2-External Expertise and Services",'PB9'!$I$3:$I$201)</f>
        <v>0</v>
      </c>
      <c r="N343" s="207"/>
      <c r="O343" s="208"/>
      <c r="P343" s="206">
        <f>SUMIF('PB9'!$J$3:$J$201,"D4.9.2-Equipment",'PB9'!$I$3:$I$201)</f>
        <v>0</v>
      </c>
      <c r="Q343" s="207"/>
      <c r="R343" s="208"/>
      <c r="S343" s="206">
        <f>SUMIF('PB9'!$J$3:$J$201,"D4.9.2-Infrastructure and Works",'PB9'!$I$3:$I$201)</f>
        <v>0</v>
      </c>
      <c r="T343" s="207"/>
      <c r="U343" s="208"/>
      <c r="V343" s="201">
        <f t="shared" si="8"/>
        <v>0</v>
      </c>
      <c r="W343" s="202"/>
      <c r="X343" s="202"/>
    </row>
    <row r="344" spans="1:24">
      <c r="A344" s="210" t="s">
        <v>353</v>
      </c>
      <c r="B344" s="210" t="s">
        <v>50</v>
      </c>
      <c r="C344" s="210" t="s">
        <v>50</v>
      </c>
      <c r="D344" s="206">
        <f>SUMIF('PB9'!$J$3:$J$201,"D4.9.3-Staff Costs",'PB9'!$I$3:$I$201)</f>
        <v>0</v>
      </c>
      <c r="E344" s="207"/>
      <c r="F344" s="208"/>
      <c r="G344" s="206">
        <f>SUMIF('PB9'!$J$3:$J$201,"D4.9.3-Office and Administration",'PB9'!$I$3:$I$201)</f>
        <v>0</v>
      </c>
      <c r="H344" s="207"/>
      <c r="I344" s="208"/>
      <c r="J344" s="206">
        <f>SUMIF('PB9'!$J$3:$J$201,"D4.9.3-Travel and Accommodation",'PB9'!$I$3:$I$201)</f>
        <v>0</v>
      </c>
      <c r="K344" s="207"/>
      <c r="L344" s="208"/>
      <c r="M344" s="206">
        <f>SUMIF('PB9'!$J$3:$J$201,"D4.9.3-External Expertise and Services",'PB9'!$I$3:$I$201)</f>
        <v>0</v>
      </c>
      <c r="N344" s="207"/>
      <c r="O344" s="208"/>
      <c r="P344" s="206">
        <f>SUMIF('PB9'!$J$3:$J$201,"D4.9.3-Equipment",'PB9'!$I$3:$I$201)</f>
        <v>0</v>
      </c>
      <c r="Q344" s="207"/>
      <c r="R344" s="208"/>
      <c r="S344" s="206">
        <f>SUMIF('PB9'!$J$3:$J$201,"D4.9.3-Infrastructure and Works",'PB9'!$I$3:$I$201)</f>
        <v>0</v>
      </c>
      <c r="T344" s="207"/>
      <c r="U344" s="208"/>
      <c r="V344" s="201">
        <f t="shared" si="8"/>
        <v>0</v>
      </c>
      <c r="W344" s="202"/>
      <c r="X344" s="202"/>
    </row>
    <row r="345" spans="1:24">
      <c r="A345" s="210" t="s">
        <v>359</v>
      </c>
      <c r="B345" s="210" t="s">
        <v>51</v>
      </c>
      <c r="C345" s="210" t="s">
        <v>51</v>
      </c>
      <c r="D345" s="206">
        <f>SUMIF('PB9'!$J$3:$J$201,"D4.9.4-Staff Costs",'PB9'!$I$3:$I$201)</f>
        <v>0</v>
      </c>
      <c r="E345" s="207"/>
      <c r="F345" s="208"/>
      <c r="G345" s="206">
        <f>SUMIF('PB9'!$J$3:$J$201,"D4.9.4-Office and Administration",'PB9'!$I$3:$I$201)</f>
        <v>0</v>
      </c>
      <c r="H345" s="207"/>
      <c r="I345" s="208"/>
      <c r="J345" s="206">
        <f>SUMIF('PB9'!$J$3:$J$201,"D4.9.4-Travel and Accommodation",'PB9'!$I$3:$I$201)</f>
        <v>0</v>
      </c>
      <c r="K345" s="207"/>
      <c r="L345" s="208"/>
      <c r="M345" s="206">
        <f>SUMIF('PB9'!$J$3:$J$201,"D4.9.4-External Expertise and Services",'PB9'!$I$3:$I$201)</f>
        <v>0</v>
      </c>
      <c r="N345" s="207"/>
      <c r="O345" s="208"/>
      <c r="P345" s="206">
        <f>SUMIF('PB9'!$J$3:$J$201,"D4.9.4-Equipment",'PB9'!$I$3:$I$201)</f>
        <v>0</v>
      </c>
      <c r="Q345" s="207"/>
      <c r="R345" s="208"/>
      <c r="S345" s="206">
        <f>SUMIF('PB9'!$J$3:$J$201,"D4.9.4-Infrastructure and Works",'PB9'!$I$3:$I$201)</f>
        <v>0</v>
      </c>
      <c r="T345" s="207"/>
      <c r="U345" s="208"/>
      <c r="V345" s="201">
        <f t="shared" si="8"/>
        <v>0</v>
      </c>
      <c r="W345" s="202"/>
      <c r="X345" s="202"/>
    </row>
    <row r="346" spans="1:24">
      <c r="A346" s="210" t="s">
        <v>365</v>
      </c>
      <c r="B346" s="210" t="s">
        <v>52</v>
      </c>
      <c r="C346" s="210" t="s">
        <v>52</v>
      </c>
      <c r="D346" s="206">
        <f>SUMIF('PB9'!$J$3:$J$201,"D4.9.5-Staff Costs",'PB9'!$I$3:$I$201)</f>
        <v>0</v>
      </c>
      <c r="E346" s="207"/>
      <c r="F346" s="208"/>
      <c r="G346" s="206">
        <f>SUMIF('PB9'!$J$3:$J$201,"D4.9.5-Office and Administration",'PB9'!$I$3:$I$201)</f>
        <v>0</v>
      </c>
      <c r="H346" s="207"/>
      <c r="I346" s="208"/>
      <c r="J346" s="206">
        <f>SUMIF('PB9'!$J$3:$J$201,"D4.9.5-Travel and Accommodation",'PB9'!$I$3:$I$201)</f>
        <v>0</v>
      </c>
      <c r="K346" s="207"/>
      <c r="L346" s="208"/>
      <c r="M346" s="206">
        <f>SUMIF('PB9'!$J$3:$J$201,"D4.9.5-External Expertise and Services",'PB9'!$I$3:$I$201)</f>
        <v>0</v>
      </c>
      <c r="N346" s="207"/>
      <c r="O346" s="208"/>
      <c r="P346" s="206">
        <f>SUMIF('PB9'!$J$3:$J$201,"D4.9.5-Equipment",'PB9'!$I$3:$I$201)</f>
        <v>0</v>
      </c>
      <c r="Q346" s="207"/>
      <c r="R346" s="208"/>
      <c r="S346" s="206">
        <f>SUMIF('PB9'!$J$3:$J$201,"D4.9.5-Infrastructure and Works",'PB9'!$I$3:$I$201)</f>
        <v>0</v>
      </c>
      <c r="T346" s="207"/>
      <c r="U346" s="208"/>
      <c r="V346" s="201">
        <f t="shared" si="8"/>
        <v>0</v>
      </c>
      <c r="W346" s="202"/>
      <c r="X346" s="202"/>
    </row>
    <row r="347" spans="1:24">
      <c r="A347" s="213" t="s">
        <v>420</v>
      </c>
      <c r="B347" s="213"/>
      <c r="C347" s="213" t="s">
        <v>418</v>
      </c>
      <c r="D347" s="203">
        <f>SUM(D348:D352)</f>
        <v>0</v>
      </c>
      <c r="E347" s="204"/>
      <c r="F347" s="205"/>
      <c r="G347" s="203">
        <f>SUM(G348:G352)</f>
        <v>0</v>
      </c>
      <c r="H347" s="204"/>
      <c r="I347" s="205"/>
      <c r="J347" s="203">
        <f>SUM(J348:J352)</f>
        <v>0</v>
      </c>
      <c r="K347" s="204"/>
      <c r="L347" s="205"/>
      <c r="M347" s="203">
        <f>SUM(M348:M352)</f>
        <v>0</v>
      </c>
      <c r="N347" s="204"/>
      <c r="O347" s="205"/>
      <c r="P347" s="203">
        <f>SUM(P348:P352)</f>
        <v>0</v>
      </c>
      <c r="Q347" s="204"/>
      <c r="R347" s="205"/>
      <c r="S347" s="203">
        <f>SUM(S348:S352)</f>
        <v>0</v>
      </c>
      <c r="T347" s="204"/>
      <c r="U347" s="205"/>
      <c r="V347" s="199">
        <f t="shared" si="8"/>
        <v>0</v>
      </c>
      <c r="W347" s="200"/>
      <c r="X347" s="200"/>
    </row>
    <row r="348" spans="1:24">
      <c r="A348" s="210" t="s">
        <v>342</v>
      </c>
      <c r="B348" s="210" t="s">
        <v>53</v>
      </c>
      <c r="C348" s="210" t="s">
        <v>53</v>
      </c>
      <c r="D348" s="206">
        <f>SUMIF('PB9'!$J$3:$J$201,"D5.9.1-Staff Costs",'PB9'!$I$3:$I$201)</f>
        <v>0</v>
      </c>
      <c r="E348" s="207"/>
      <c r="F348" s="208"/>
      <c r="G348" s="206">
        <f>SUMIF('PB9'!$J$3:$J$201,"D5.9.1-Office and Administration",'PB9'!$I$3:$I$201)</f>
        <v>0</v>
      </c>
      <c r="H348" s="207"/>
      <c r="I348" s="208"/>
      <c r="J348" s="206">
        <f>SUMIF('PB9'!$J$3:$J$201,"D5.9.1-Travel and Accommodation",'PB9'!$I$3:$I$201)</f>
        <v>0</v>
      </c>
      <c r="K348" s="207"/>
      <c r="L348" s="208"/>
      <c r="M348" s="206">
        <f>SUMIF('PB9'!$J$3:$J$201,"D5.9.1-External Expertise and Services",'PB9'!$I$3:$I$201)</f>
        <v>0</v>
      </c>
      <c r="N348" s="207"/>
      <c r="O348" s="208"/>
      <c r="P348" s="206">
        <f>SUMIF('PB9'!$J$3:$J$201,"D5.9.1-Equipment",'PB9'!$I$3:$I$201)</f>
        <v>0</v>
      </c>
      <c r="Q348" s="207"/>
      <c r="R348" s="208"/>
      <c r="S348" s="206">
        <f>SUMIF('PB9'!$J$3:$J$201,"D5.9.1-Infrastructure and Works",'PB9'!$I$3:$I$201)</f>
        <v>0</v>
      </c>
      <c r="T348" s="207"/>
      <c r="U348" s="208"/>
      <c r="V348" s="201">
        <f t="shared" si="8"/>
        <v>0</v>
      </c>
      <c r="W348" s="202"/>
      <c r="X348" s="202"/>
    </row>
    <row r="349" spans="1:24">
      <c r="A349" s="210" t="s">
        <v>348</v>
      </c>
      <c r="B349" s="210" t="s">
        <v>54</v>
      </c>
      <c r="C349" s="210" t="s">
        <v>54</v>
      </c>
      <c r="D349" s="206">
        <f>SUMIF('PB9'!$J$3:$J$201,"D5.9.2-Staff Costs",'PB9'!$I$3:$I$201)</f>
        <v>0</v>
      </c>
      <c r="E349" s="207"/>
      <c r="F349" s="208"/>
      <c r="G349" s="206">
        <f>SUMIF('PB9'!$J$3:$J$201,"D5.9.2-Office and Administration",'PB9'!$I$3:$I$201)</f>
        <v>0</v>
      </c>
      <c r="H349" s="207"/>
      <c r="I349" s="208"/>
      <c r="J349" s="206">
        <f>SUMIF('PB9'!$J$3:$J$201,"D5.9.2-Travel and Accommodation",'PB9'!$I$3:$I$201)</f>
        <v>0</v>
      </c>
      <c r="K349" s="207"/>
      <c r="L349" s="208"/>
      <c r="M349" s="206">
        <f>SUMIF('PB9'!$J$3:$J$201,"D5.9.2-External Expertise and Services",'PB9'!$I$3:$I$201)</f>
        <v>0</v>
      </c>
      <c r="N349" s="207"/>
      <c r="O349" s="208"/>
      <c r="P349" s="206">
        <f>SUMIF('PB9'!$J$3:$J$201,"D5.9.2-Equipment",'PB9'!$I$3:$I$201)</f>
        <v>0</v>
      </c>
      <c r="Q349" s="207"/>
      <c r="R349" s="208"/>
      <c r="S349" s="206">
        <f>SUMIF('PB9'!$J$3:$J$201,"D5.9.2-Infrastructure and Works",'PB9'!$I$3:$I$201)</f>
        <v>0</v>
      </c>
      <c r="T349" s="207"/>
      <c r="U349" s="208"/>
      <c r="V349" s="201">
        <f t="shared" si="8"/>
        <v>0</v>
      </c>
      <c r="W349" s="202"/>
      <c r="X349" s="202"/>
    </row>
    <row r="350" spans="1:24">
      <c r="A350" s="210" t="s">
        <v>354</v>
      </c>
      <c r="B350" s="210" t="s">
        <v>55</v>
      </c>
      <c r="C350" s="210" t="s">
        <v>55</v>
      </c>
      <c r="D350" s="206">
        <f>SUMIF('PB9'!$J$3:$J$201,"D5.9.3-Staff Costs",'PB9'!$I$3:$I$201)</f>
        <v>0</v>
      </c>
      <c r="E350" s="207"/>
      <c r="F350" s="208"/>
      <c r="G350" s="206">
        <f>SUMIF('PB9'!$J$3:$J$201,"D5.9.3-Office and Administration",'PB9'!$I$3:$I$201)</f>
        <v>0</v>
      </c>
      <c r="H350" s="207"/>
      <c r="I350" s="208"/>
      <c r="J350" s="206">
        <f>SUMIF('PB9'!$J$3:$J$201,"D5.9.3-Travel and Accommodation",'PB9'!$I$3:$I$201)</f>
        <v>0</v>
      </c>
      <c r="K350" s="207"/>
      <c r="L350" s="208"/>
      <c r="M350" s="206">
        <f>SUMIF('PB9'!$J$3:$J$201,"D5.9.3-External Expertise and Services",'PB9'!$I$3:$I$201)</f>
        <v>0</v>
      </c>
      <c r="N350" s="207"/>
      <c r="O350" s="208"/>
      <c r="P350" s="206">
        <f>SUMIF('PB9'!$J$3:$J$201,"D5.9.3-Equipment",'PB9'!$I$3:$I$201)</f>
        <v>0</v>
      </c>
      <c r="Q350" s="207"/>
      <c r="R350" s="208"/>
      <c r="S350" s="206">
        <f>SUMIF('PB9'!$J$3:$J$201,"D5.9.3-Infrastructure and Works",'PB9'!$I$3:$I$201)</f>
        <v>0</v>
      </c>
      <c r="T350" s="207"/>
      <c r="U350" s="208"/>
      <c r="V350" s="201">
        <f t="shared" si="8"/>
        <v>0</v>
      </c>
      <c r="W350" s="202"/>
      <c r="X350" s="202"/>
    </row>
    <row r="351" spans="1:24">
      <c r="A351" s="210" t="s">
        <v>360</v>
      </c>
      <c r="B351" s="210" t="s">
        <v>56</v>
      </c>
      <c r="C351" s="210" t="s">
        <v>56</v>
      </c>
      <c r="D351" s="206">
        <f>SUMIF('PB9'!$J$3:$J$201,"D5.9.4-Staff Costs",'PB9'!$I$3:$I$201)</f>
        <v>0</v>
      </c>
      <c r="E351" s="207"/>
      <c r="F351" s="208"/>
      <c r="G351" s="206">
        <f>SUMIF('PB9'!$J$3:$J$201,"D5.9.4-Office and Administration",'PB9'!$I$3:$I$201)</f>
        <v>0</v>
      </c>
      <c r="H351" s="207"/>
      <c r="I351" s="208"/>
      <c r="J351" s="206">
        <f>SUMIF('PB9'!$J$3:$J$201,"D5.9.4-Travel and Accommodation",'PB9'!$I$3:$I$201)</f>
        <v>0</v>
      </c>
      <c r="K351" s="207"/>
      <c r="L351" s="208"/>
      <c r="M351" s="206">
        <f>SUMIF('PB9'!$J$3:$J$201,"D5.9.4-External Expertise and Services",'PB9'!$I$3:$I$201)</f>
        <v>0</v>
      </c>
      <c r="N351" s="207"/>
      <c r="O351" s="208"/>
      <c r="P351" s="206">
        <f>SUMIF('PB9'!$J$3:$J$201,"D5.9.4-Equipment",'PB9'!$I$3:$I$201)</f>
        <v>0</v>
      </c>
      <c r="Q351" s="207"/>
      <c r="R351" s="208"/>
      <c r="S351" s="206">
        <f>SUMIF('PB9'!$J$3:$J$201,"D5.9.4-Infrastructure and Works",'PB9'!$I$3:$I$201)</f>
        <v>0</v>
      </c>
      <c r="T351" s="207"/>
      <c r="U351" s="208"/>
      <c r="V351" s="201">
        <f t="shared" si="8"/>
        <v>0</v>
      </c>
      <c r="W351" s="202"/>
      <c r="X351" s="202"/>
    </row>
    <row r="352" spans="1:24">
      <c r="A352" s="210" t="s">
        <v>366</v>
      </c>
      <c r="B352" s="210" t="s">
        <v>57</v>
      </c>
      <c r="C352" s="210" t="s">
        <v>57</v>
      </c>
      <c r="D352" s="206">
        <f>SUMIF('PB9'!$J$3:$J$201,"D5.9.5-Staff Costs",'PB9'!$I$3:$I$201)</f>
        <v>0</v>
      </c>
      <c r="E352" s="207"/>
      <c r="F352" s="208"/>
      <c r="G352" s="206">
        <f>SUMIF('PB9'!$J$3:$J$201,"D5.9.5-Office and Administration",'PB9'!$I$3:$I$201)</f>
        <v>0</v>
      </c>
      <c r="H352" s="207"/>
      <c r="I352" s="208"/>
      <c r="J352" s="206">
        <f>SUMIF('PB9'!$J$3:$J$201,"D5.9.5-Travel and Accommodation",'PB9'!$I$3:$I$201)</f>
        <v>0</v>
      </c>
      <c r="K352" s="207"/>
      <c r="L352" s="208"/>
      <c r="M352" s="206">
        <f>SUMIF('PB9'!$J$3:$J$201,"D5.9.5-External Expertise and Services",'PB9'!$I$3:$I$201)</f>
        <v>0</v>
      </c>
      <c r="N352" s="207"/>
      <c r="O352" s="208"/>
      <c r="P352" s="206">
        <f>SUMIF('PB9'!$J$3:$J$201,"D5.9.5-Equipment",'PB9'!$I$3:$I$201)</f>
        <v>0</v>
      </c>
      <c r="Q352" s="207"/>
      <c r="R352" s="208"/>
      <c r="S352" s="206">
        <f>SUMIF('PB9'!$J$3:$J$201,"D5.9.5-Infrastructure and Works",'PB9'!$I$3:$I$201)</f>
        <v>0</v>
      </c>
      <c r="T352" s="207"/>
      <c r="U352" s="208"/>
      <c r="V352" s="201">
        <f t="shared" si="8"/>
        <v>0</v>
      </c>
      <c r="W352" s="202"/>
      <c r="X352" s="202"/>
    </row>
    <row r="353" spans="1:24">
      <c r="A353" s="213" t="s">
        <v>421</v>
      </c>
      <c r="B353" s="213"/>
      <c r="C353" s="213" t="s">
        <v>418</v>
      </c>
      <c r="D353" s="203">
        <f>SUM(D354:D358)</f>
        <v>0</v>
      </c>
      <c r="E353" s="204"/>
      <c r="F353" s="205"/>
      <c r="G353" s="203">
        <f>SUM(G354:G358)</f>
        <v>0</v>
      </c>
      <c r="H353" s="204"/>
      <c r="I353" s="205"/>
      <c r="J353" s="203">
        <f>SUM(J354:J358)</f>
        <v>0</v>
      </c>
      <c r="K353" s="204"/>
      <c r="L353" s="205"/>
      <c r="M353" s="203">
        <f>SUM(M354:M358)</f>
        <v>0</v>
      </c>
      <c r="N353" s="204"/>
      <c r="O353" s="205"/>
      <c r="P353" s="203">
        <f>SUM(P354:P358)</f>
        <v>0</v>
      </c>
      <c r="Q353" s="204"/>
      <c r="R353" s="205"/>
      <c r="S353" s="203">
        <f>SUM(S354:S358)</f>
        <v>0</v>
      </c>
      <c r="T353" s="204"/>
      <c r="U353" s="205"/>
      <c r="V353" s="199">
        <f t="shared" si="8"/>
        <v>0</v>
      </c>
      <c r="W353" s="200"/>
      <c r="X353" s="200"/>
    </row>
    <row r="354" spans="1:24">
      <c r="A354" s="210" t="s">
        <v>343</v>
      </c>
      <c r="B354" s="210" t="s">
        <v>58</v>
      </c>
      <c r="C354" s="210" t="s">
        <v>58</v>
      </c>
      <c r="D354" s="206">
        <f>SUMIF('PB9'!$J$3:$J$201,"D6.9.1-Staff Costs",'PB9'!$I$3:$I$201)</f>
        <v>0</v>
      </c>
      <c r="E354" s="207"/>
      <c r="F354" s="208"/>
      <c r="G354" s="206">
        <f>SUMIF('PB9'!$J$3:$J$201,"D6.9.1-Office and Administration",'PB9'!$I$3:$I$201)</f>
        <v>0</v>
      </c>
      <c r="H354" s="207"/>
      <c r="I354" s="208"/>
      <c r="J354" s="206">
        <f>SUMIF('PB9'!$J$3:$J$201,"D6.9.1-Travel and Accommodation",'PB9'!$I$3:$I$201)</f>
        <v>0</v>
      </c>
      <c r="K354" s="207"/>
      <c r="L354" s="208"/>
      <c r="M354" s="206">
        <f>SUMIF('PB9'!$J$3:$J$201,"D6.9.1-External Expertise and Services",'PB9'!$I$3:$I$201)</f>
        <v>0</v>
      </c>
      <c r="N354" s="207"/>
      <c r="O354" s="208"/>
      <c r="P354" s="206">
        <f>SUMIF('PB9'!$J$3:$J$201,"D6.9.1-Equipment",'PB9'!$I$3:$I$201)</f>
        <v>0</v>
      </c>
      <c r="Q354" s="207"/>
      <c r="R354" s="208"/>
      <c r="S354" s="206">
        <f>SUMIF('PB9'!$J$3:$J$201,"D6.9.1-Infrastructure and Works",'PB9'!$I$3:$I$201)</f>
        <v>0</v>
      </c>
      <c r="T354" s="207"/>
      <c r="U354" s="208"/>
      <c r="V354" s="201">
        <f t="shared" si="8"/>
        <v>0</v>
      </c>
      <c r="W354" s="202"/>
      <c r="X354" s="202"/>
    </row>
    <row r="355" spans="1:24">
      <c r="A355" s="210" t="s">
        <v>349</v>
      </c>
      <c r="B355" s="210" t="s">
        <v>59</v>
      </c>
      <c r="C355" s="210" t="s">
        <v>59</v>
      </c>
      <c r="D355" s="206">
        <f>SUMIF('PB9'!$J$3:$J$201,"D6.9.2-Staff Costs",'PB9'!$I$3:$I$201)</f>
        <v>0</v>
      </c>
      <c r="E355" s="207"/>
      <c r="F355" s="208"/>
      <c r="G355" s="206">
        <f>SUMIF('PB9'!$J$3:$J$201,"D6.9.2-Office and Administration",'PB9'!$I$3:$I$201)</f>
        <v>0</v>
      </c>
      <c r="H355" s="207"/>
      <c r="I355" s="208"/>
      <c r="J355" s="206">
        <f>SUMIF('PB9'!$J$3:$J$201,"D6.9.2-Travel and Accommodation",'PB9'!$I$3:$I$201)</f>
        <v>0</v>
      </c>
      <c r="K355" s="207"/>
      <c r="L355" s="208"/>
      <c r="M355" s="206">
        <f>SUMIF('PB9'!$J$3:$J$201,"D6.9.2-External Expertise and Services",'PB9'!$I$3:$I$201)</f>
        <v>0</v>
      </c>
      <c r="N355" s="207"/>
      <c r="O355" s="208"/>
      <c r="P355" s="206">
        <f>SUMIF('PB9'!$J$3:$J$201,"D6.9.2-Equipment",'PB9'!$I$3:$I$201)</f>
        <v>0</v>
      </c>
      <c r="Q355" s="207"/>
      <c r="R355" s="208"/>
      <c r="S355" s="206">
        <f>SUMIF('PB9'!$J$3:$J$201,"D6.9.2-Infrastructure and Works",'PB9'!$I$3:$I$201)</f>
        <v>0</v>
      </c>
      <c r="T355" s="207"/>
      <c r="U355" s="208"/>
      <c r="V355" s="201">
        <f t="shared" si="8"/>
        <v>0</v>
      </c>
      <c r="W355" s="202"/>
      <c r="X355" s="202"/>
    </row>
    <row r="356" spans="1:24">
      <c r="A356" s="210" t="s">
        <v>355</v>
      </c>
      <c r="B356" s="210" t="s">
        <v>60</v>
      </c>
      <c r="C356" s="210" t="s">
        <v>60</v>
      </c>
      <c r="D356" s="206">
        <f>SUMIF('PB9'!$J$3:$J$201,"D6.9.3-Staff Costs",'PB9'!$I$3:$I$201)</f>
        <v>0</v>
      </c>
      <c r="E356" s="207"/>
      <c r="F356" s="208"/>
      <c r="G356" s="206">
        <f>SUMIF('PB9'!$J$3:$J$201,"D6.9.3-Office and Administration",'PB9'!$I$3:$I$201)</f>
        <v>0</v>
      </c>
      <c r="H356" s="207"/>
      <c r="I356" s="208"/>
      <c r="J356" s="206">
        <f>SUMIF('PB9'!$J$3:$J$201,"D6.9.3-Travel and Accommodation",'PB9'!$I$3:$I$201)</f>
        <v>0</v>
      </c>
      <c r="K356" s="207"/>
      <c r="L356" s="208"/>
      <c r="M356" s="206">
        <f>SUMIF('PB9'!$J$3:$J$201,"D6.9.3-External Expertise and Services",'PB9'!$I$3:$I$201)</f>
        <v>0</v>
      </c>
      <c r="N356" s="207"/>
      <c r="O356" s="208"/>
      <c r="P356" s="206">
        <f>SUMIF('PB9'!$J$3:$J$201,"D6.9.3-Equipment",'PB9'!$I$3:$I$201)</f>
        <v>0</v>
      </c>
      <c r="Q356" s="207"/>
      <c r="R356" s="208"/>
      <c r="S356" s="206">
        <f>SUMIF('PB9'!$J$3:$J$201,"D6.9.3-Infrastructure and Works",'PB9'!$I$3:$I$201)</f>
        <v>0</v>
      </c>
      <c r="T356" s="207"/>
      <c r="U356" s="208"/>
      <c r="V356" s="201">
        <f t="shared" si="8"/>
        <v>0</v>
      </c>
      <c r="W356" s="202"/>
      <c r="X356" s="202"/>
    </row>
    <row r="357" spans="1:24">
      <c r="A357" s="210" t="s">
        <v>361</v>
      </c>
      <c r="B357" s="210" t="s">
        <v>61</v>
      </c>
      <c r="C357" s="210" t="s">
        <v>61</v>
      </c>
      <c r="D357" s="206">
        <f>SUMIF('PB9'!$J$3:$J$201,"D6.9.4-Staff Costs",'PB9'!$I$3:$I$201)</f>
        <v>0</v>
      </c>
      <c r="E357" s="207"/>
      <c r="F357" s="208"/>
      <c r="G357" s="206">
        <f>SUMIF('PB9'!$J$3:$J$201,"D6.9.4-Office and Administration",'PB9'!$I$3:$I$201)</f>
        <v>0</v>
      </c>
      <c r="H357" s="207"/>
      <c r="I357" s="208"/>
      <c r="J357" s="206">
        <f>SUMIF('PB9'!$J$3:$J$201,"D6.9.4-Travel and Accommodation",'PB9'!$I$3:$I$201)</f>
        <v>0</v>
      </c>
      <c r="K357" s="207"/>
      <c r="L357" s="208"/>
      <c r="M357" s="206">
        <f>SUMIF('PB9'!$J$3:$J$201,"D6.9.4-External Expertise and Services",'PB9'!$I$3:$I$201)</f>
        <v>0</v>
      </c>
      <c r="N357" s="207"/>
      <c r="O357" s="208"/>
      <c r="P357" s="206">
        <f>SUMIF('PB9'!$J$3:$J$201,"D6.9.4-Equipment",'PB9'!$I$3:$I$201)</f>
        <v>0</v>
      </c>
      <c r="Q357" s="207"/>
      <c r="R357" s="208"/>
      <c r="S357" s="206">
        <f>SUMIF('PB9'!$J$3:$J$201,"D6.9.4-Infrastructure and Works",'PB9'!$I$3:$I$201)</f>
        <v>0</v>
      </c>
      <c r="T357" s="207"/>
      <c r="U357" s="208"/>
      <c r="V357" s="201">
        <f t="shared" si="8"/>
        <v>0</v>
      </c>
      <c r="W357" s="202"/>
      <c r="X357" s="202"/>
    </row>
    <row r="358" spans="1:24">
      <c r="A358" s="210" t="s">
        <v>367</v>
      </c>
      <c r="B358" s="210"/>
      <c r="C358" s="210"/>
      <c r="D358" s="206">
        <f>SUMIF('PB9'!$J$3:$J$201,"D6.9.5-Staff Costs",'PB9'!$I$3:$I$201)</f>
        <v>0</v>
      </c>
      <c r="E358" s="207"/>
      <c r="F358" s="208"/>
      <c r="G358" s="206">
        <f>SUMIF('PB9'!$J$3:$J$201,"D6.9.5-Office and Administration",'PB9'!$I$3:$I$201)</f>
        <v>0</v>
      </c>
      <c r="H358" s="207"/>
      <c r="I358" s="208"/>
      <c r="J358" s="206">
        <f>SUMIF('PB9'!$J$3:$J$201,"D6.9.5-Travel and Accommodation",'PB9'!$I$3:$I$201)</f>
        <v>0</v>
      </c>
      <c r="K358" s="207"/>
      <c r="L358" s="208"/>
      <c r="M358" s="206">
        <f>SUMIF('PB9'!$J$3:$J$201,"D6.9.5-External Expertise and Services",'PB9'!$I$3:$I$201)</f>
        <v>0</v>
      </c>
      <c r="N358" s="207"/>
      <c r="O358" s="208"/>
      <c r="P358" s="206">
        <f>SUMIF('PB9'!$J$3:$J$201,"D6.9.5-Equipment",'PB9'!$I$3:$I$201)</f>
        <v>0</v>
      </c>
      <c r="Q358" s="207"/>
      <c r="R358" s="208"/>
      <c r="S358" s="206">
        <f>SUMIF('PB9'!$J$3:$J$201,"D6.9.5-Infrastructure and Works",'PB9'!$I$3:$I$201)</f>
        <v>0</v>
      </c>
      <c r="T358" s="207"/>
      <c r="U358" s="208"/>
      <c r="V358" s="201">
        <f t="shared" si="8"/>
        <v>0</v>
      </c>
      <c r="W358" s="202"/>
      <c r="X358" s="202"/>
    </row>
    <row r="359" spans="1:24">
      <c r="A359" s="221" t="s">
        <v>423</v>
      </c>
      <c r="B359" s="221"/>
      <c r="C359" s="221"/>
      <c r="D359" s="224">
        <f>D353+D347+D341+D335+D329+D323</f>
        <v>0</v>
      </c>
      <c r="E359" s="225"/>
      <c r="F359" s="226"/>
      <c r="G359" s="224">
        <f>G353+G347+G341+G335+G329+G323</f>
        <v>0</v>
      </c>
      <c r="H359" s="225"/>
      <c r="I359" s="226"/>
      <c r="J359" s="224">
        <f>J353+J347+J341+J335+J329+J323</f>
        <v>0</v>
      </c>
      <c r="K359" s="225"/>
      <c r="L359" s="226"/>
      <c r="M359" s="224">
        <f>M353+M347+M341+M335+M329+M323</f>
        <v>0</v>
      </c>
      <c r="N359" s="225"/>
      <c r="O359" s="226"/>
      <c r="P359" s="224">
        <f>P353+P347+P341+P335+P329+P323</f>
        <v>0</v>
      </c>
      <c r="Q359" s="225"/>
      <c r="R359" s="226"/>
      <c r="S359" s="224">
        <f>S353+S347+S341+S335+S329+S323</f>
        <v>0</v>
      </c>
      <c r="T359" s="225"/>
      <c r="U359" s="226"/>
      <c r="V359" s="222">
        <f t="shared" si="8"/>
        <v>0</v>
      </c>
      <c r="W359" s="223"/>
      <c r="X359" s="201"/>
    </row>
    <row r="360" spans="1:24"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8"/>
      <c r="W360" s="48"/>
      <c r="X360" s="48"/>
    </row>
    <row r="361" spans="1:24" ht="15" customHeight="1">
      <c r="A361" s="211" t="s">
        <v>504</v>
      </c>
      <c r="B361" s="211"/>
      <c r="C361" s="211"/>
      <c r="D361" s="214" t="s">
        <v>23</v>
      </c>
      <c r="E361" s="215"/>
      <c r="F361" s="216"/>
      <c r="G361" s="214" t="s">
        <v>24</v>
      </c>
      <c r="H361" s="215"/>
      <c r="I361" s="216"/>
      <c r="J361" s="214" t="s">
        <v>474</v>
      </c>
      <c r="K361" s="215"/>
      <c r="L361" s="216"/>
      <c r="M361" s="214" t="s">
        <v>25</v>
      </c>
      <c r="N361" s="215"/>
      <c r="O361" s="216"/>
      <c r="P361" s="214" t="s">
        <v>26</v>
      </c>
      <c r="Q361" s="215"/>
      <c r="R361" s="216"/>
      <c r="S361" s="214" t="s">
        <v>406</v>
      </c>
      <c r="T361" s="215"/>
      <c r="U361" s="216"/>
      <c r="V361" s="220" t="s">
        <v>423</v>
      </c>
      <c r="W361" s="220"/>
      <c r="X361" s="220"/>
    </row>
    <row r="362" spans="1:24" ht="48.75" customHeight="1">
      <c r="A362" s="212">
        <f>'Cover page'!C31</f>
        <v>0</v>
      </c>
      <c r="B362" s="212"/>
      <c r="C362" s="212"/>
      <c r="D362" s="217"/>
      <c r="E362" s="218"/>
      <c r="F362" s="219"/>
      <c r="G362" s="217"/>
      <c r="H362" s="218"/>
      <c r="I362" s="219"/>
      <c r="J362" s="217"/>
      <c r="K362" s="218"/>
      <c r="L362" s="219"/>
      <c r="M362" s="217"/>
      <c r="N362" s="218"/>
      <c r="O362" s="219"/>
      <c r="P362" s="217"/>
      <c r="Q362" s="218"/>
      <c r="R362" s="219"/>
      <c r="S362" s="217"/>
      <c r="T362" s="218"/>
      <c r="U362" s="219"/>
      <c r="V362" s="220"/>
      <c r="W362" s="220"/>
      <c r="X362" s="220"/>
    </row>
    <row r="363" spans="1:24">
      <c r="A363" s="228" t="s">
        <v>415</v>
      </c>
      <c r="B363" s="229"/>
      <c r="C363" s="230"/>
      <c r="D363" s="203">
        <f>SUM(D364:D368)</f>
        <v>0</v>
      </c>
      <c r="E363" s="204"/>
      <c r="F363" s="205"/>
      <c r="G363" s="203">
        <f>SUM(G364:G368)</f>
        <v>0</v>
      </c>
      <c r="H363" s="204"/>
      <c r="I363" s="205"/>
      <c r="J363" s="203">
        <f>SUM(J364:J368)</f>
        <v>0</v>
      </c>
      <c r="K363" s="204"/>
      <c r="L363" s="205"/>
      <c r="M363" s="203">
        <f>SUM(M364:M368)</f>
        <v>0</v>
      </c>
      <c r="N363" s="204"/>
      <c r="O363" s="205"/>
      <c r="P363" s="203">
        <f>SUM(P364:P368)</f>
        <v>0</v>
      </c>
      <c r="Q363" s="204"/>
      <c r="R363" s="205"/>
      <c r="S363" s="203">
        <f>SUM(S364:S368)</f>
        <v>0</v>
      </c>
      <c r="T363" s="204"/>
      <c r="U363" s="205"/>
      <c r="V363" s="199">
        <f t="shared" ref="V363:V399" si="9">SUM(D363:S363)</f>
        <v>0</v>
      </c>
      <c r="W363" s="200"/>
      <c r="X363" s="200"/>
    </row>
    <row r="364" spans="1:24">
      <c r="A364" s="210" t="s">
        <v>374</v>
      </c>
      <c r="B364" s="210"/>
      <c r="C364" s="210"/>
      <c r="D364" s="206">
        <f>SUMIF('PB10'!$J$3:$J$201,"D1.10.1-Staff Costs",'PB10'!$I$3:$I$201)</f>
        <v>0</v>
      </c>
      <c r="E364" s="207"/>
      <c r="F364" s="208"/>
      <c r="G364" s="206">
        <f>SUMIF('PB10'!$J$3:$J$201,"D1.10.1-Office and Administration",'PB10'!$I$3:$I$201)</f>
        <v>0</v>
      </c>
      <c r="H364" s="207"/>
      <c r="I364" s="208"/>
      <c r="J364" s="206">
        <f>SUMIF('PB10'!$J$3:$J$201,"D1.10.1-Travel and Accommodation",'PB10'!$I$3:$I$201)</f>
        <v>0</v>
      </c>
      <c r="K364" s="207"/>
      <c r="L364" s="208"/>
      <c r="M364" s="206">
        <f>SUMIF('PB10'!$J$3:$J$201,"D1.10.1-External Expertise and Services",'PB10'!$I$3:$I$201)</f>
        <v>0</v>
      </c>
      <c r="N364" s="207"/>
      <c r="O364" s="208"/>
      <c r="P364" s="206">
        <f>SUMIF('PB10'!$J$3:$J$201,"D1.10.1-Equipment",'PB10'!$I$3:$I$201)</f>
        <v>0</v>
      </c>
      <c r="Q364" s="207"/>
      <c r="R364" s="208"/>
      <c r="S364" s="206">
        <f>SUMIF('PB10'!$J$3:$J$201,"D1.10.1-Infrastructure and Works",'PB10'!$I$3:$I$201)</f>
        <v>0</v>
      </c>
      <c r="T364" s="207"/>
      <c r="U364" s="208"/>
      <c r="V364" s="201">
        <f t="shared" si="9"/>
        <v>0</v>
      </c>
      <c r="W364" s="202"/>
      <c r="X364" s="202"/>
    </row>
    <row r="365" spans="1:24">
      <c r="A365" s="210" t="s">
        <v>380</v>
      </c>
      <c r="B365" s="210"/>
      <c r="C365" s="210"/>
      <c r="D365" s="206">
        <f>SUMIF('PB10'!$J$3:$J$201,"D1.10.2-Staff Costs",'PB10'!$I$3:$I$201)</f>
        <v>0</v>
      </c>
      <c r="E365" s="207"/>
      <c r="F365" s="208"/>
      <c r="G365" s="206">
        <f>SUMIF('PB10'!$J$3:$J$201,"D1.10.2-Office and Administration",'PB10'!$I$3:$I$201)</f>
        <v>0</v>
      </c>
      <c r="H365" s="207"/>
      <c r="I365" s="208"/>
      <c r="J365" s="206">
        <f>SUMIF('PB10'!$J$3:$J$201,"D1.10.2-Travel and Accommodation",'PB10'!$I$3:$I$201)</f>
        <v>0</v>
      </c>
      <c r="K365" s="207"/>
      <c r="L365" s="208"/>
      <c r="M365" s="206">
        <f>SUMIF('PB10'!$J$3:$J$201,"D1.10.2-External Expertise and Services",'PB10'!$I$3:$I$201)</f>
        <v>0</v>
      </c>
      <c r="N365" s="207"/>
      <c r="O365" s="208"/>
      <c r="P365" s="206">
        <f>SUMIF('PB10'!$J$3:$J$201,"D1.10.2-Equipment",'PB10'!$I$3:$I$201)</f>
        <v>0</v>
      </c>
      <c r="Q365" s="207"/>
      <c r="R365" s="208"/>
      <c r="S365" s="206">
        <f>SUMIF('PB10'!$J$3:$J$201,"D1.10.2-Infrastructure and Works",'PB10'!$I$3:$I$201)</f>
        <v>0</v>
      </c>
      <c r="T365" s="207"/>
      <c r="U365" s="208"/>
      <c r="V365" s="201">
        <f t="shared" si="9"/>
        <v>0</v>
      </c>
      <c r="W365" s="202"/>
      <c r="X365" s="202"/>
    </row>
    <row r="366" spans="1:24">
      <c r="A366" s="210" t="s">
        <v>386</v>
      </c>
      <c r="B366" s="210" t="s">
        <v>35</v>
      </c>
      <c r="C366" s="210" t="s">
        <v>35</v>
      </c>
      <c r="D366" s="206">
        <f>SUMIF('PB10'!$J$3:$J$201,"D1.10.3-Staff Costs",'PB10'!$I$3:$I$201)</f>
        <v>0</v>
      </c>
      <c r="E366" s="207"/>
      <c r="F366" s="208"/>
      <c r="G366" s="206">
        <f>SUMIF('PB10'!$J$3:$J$201,"D1.10.3-Office and Administration",'PB10'!$I$3:$I$201)</f>
        <v>0</v>
      </c>
      <c r="H366" s="207"/>
      <c r="I366" s="208"/>
      <c r="J366" s="206">
        <f>SUMIF('PB10'!$J$3:$J$201,"D1.10.3-Travel and Accommodation",'PB10'!$I$3:$I$201)</f>
        <v>0</v>
      </c>
      <c r="K366" s="207"/>
      <c r="L366" s="208"/>
      <c r="M366" s="206">
        <f>SUMIF('PB10'!$J$3:$J$201,"D1.10.3-External Expertise and Services",'PB10'!$I$3:$I$201)</f>
        <v>0</v>
      </c>
      <c r="N366" s="207"/>
      <c r="O366" s="208"/>
      <c r="P366" s="206">
        <f>SUMIF('PB10'!$J$3:$J$201,"D1.10.3-Equipment",'PB10'!$I$3:$I$201)</f>
        <v>0</v>
      </c>
      <c r="Q366" s="207"/>
      <c r="R366" s="208"/>
      <c r="S366" s="206">
        <f>SUMIF('PB10'!$J$3:$J$201,"D1.10.3-Infrastructure and Works",'PB10'!$I$3:$I$201)</f>
        <v>0</v>
      </c>
      <c r="T366" s="207"/>
      <c r="U366" s="208"/>
      <c r="V366" s="201">
        <f t="shared" si="9"/>
        <v>0</v>
      </c>
      <c r="W366" s="202"/>
      <c r="X366" s="202"/>
    </row>
    <row r="367" spans="1:24">
      <c r="A367" s="210" t="s">
        <v>392</v>
      </c>
      <c r="B367" s="210" t="s">
        <v>36</v>
      </c>
      <c r="C367" s="210" t="s">
        <v>36</v>
      </c>
      <c r="D367" s="206">
        <f>SUMIF('PB10'!$J$3:$J$201,"D1.10.4-Staff Costs",'PB10'!$I$3:$I$201)</f>
        <v>0</v>
      </c>
      <c r="E367" s="207"/>
      <c r="F367" s="208"/>
      <c r="G367" s="206">
        <f>SUMIF('PB10'!$J$3:$J$201,"D1.10.4-Office and Administration",'PB10'!$I$3:$I$201)</f>
        <v>0</v>
      </c>
      <c r="H367" s="207"/>
      <c r="I367" s="208"/>
      <c r="J367" s="206">
        <f>SUMIF('PB10'!$J$3:$J$201,"D1.10.4-Travel and Accommodation",'PB10'!$I$3:$I$201)</f>
        <v>0</v>
      </c>
      <c r="K367" s="207"/>
      <c r="L367" s="208"/>
      <c r="M367" s="206">
        <f>SUMIF('PB10'!$J$3:$J$201,"D1.10.4-External Expertise and Services",'PB10'!$I$3:$I$201)</f>
        <v>0</v>
      </c>
      <c r="N367" s="207"/>
      <c r="O367" s="208"/>
      <c r="P367" s="206">
        <f>SUMIF('PB10'!$J$3:$J$201,"D1.10.4-Equipment",'PB10'!$I$3:$I$201)</f>
        <v>0</v>
      </c>
      <c r="Q367" s="207"/>
      <c r="R367" s="208"/>
      <c r="S367" s="206">
        <f>SUMIF('PB10'!$J$3:$J$201,"D1.10.4-Infrastructure and Works",'PB10'!$I$3:$I$201)</f>
        <v>0</v>
      </c>
      <c r="T367" s="207"/>
      <c r="U367" s="208"/>
      <c r="V367" s="201">
        <f t="shared" si="9"/>
        <v>0</v>
      </c>
      <c r="W367" s="202"/>
      <c r="X367" s="202"/>
    </row>
    <row r="368" spans="1:24">
      <c r="A368" s="210" t="s">
        <v>398</v>
      </c>
      <c r="B368" s="210" t="s">
        <v>37</v>
      </c>
      <c r="C368" s="210" t="s">
        <v>37</v>
      </c>
      <c r="D368" s="206">
        <f>SUMIF('PB10'!$J$3:$J$201,"D1.10.5-Staff Costs",'PB10'!$I$3:$I$201)</f>
        <v>0</v>
      </c>
      <c r="E368" s="207"/>
      <c r="F368" s="208"/>
      <c r="G368" s="206">
        <f>SUMIF('PB10'!$J$3:$J$201,"D1.10.5-Office and Administration",'PB10'!$I$3:$I$201)</f>
        <v>0</v>
      </c>
      <c r="H368" s="207"/>
      <c r="I368" s="208"/>
      <c r="J368" s="206">
        <f>SUMIF('PB10'!$J$3:$J$201,"D1.10.5-Travel and Accommodation",'PB10'!$I$3:$I$201)</f>
        <v>0</v>
      </c>
      <c r="K368" s="207"/>
      <c r="L368" s="208"/>
      <c r="M368" s="206">
        <f>SUMIF('PB10'!$J$3:$J$201,"D1.10.5-External Expertise and Services",'PB10'!$I$3:$I$201)</f>
        <v>0</v>
      </c>
      <c r="N368" s="207"/>
      <c r="O368" s="208"/>
      <c r="P368" s="206">
        <f>SUMIF('PB10'!$J$3:$J$201,"D1.10.5-Equipment",'PB10'!$I$3:$I$201)</f>
        <v>0</v>
      </c>
      <c r="Q368" s="207"/>
      <c r="R368" s="208"/>
      <c r="S368" s="206">
        <f>SUMIF('PB10'!$J$3:$J$201,"D1.10.5-Infrastructure and Works",'PB10'!$I$3:$I$201)</f>
        <v>0</v>
      </c>
      <c r="T368" s="207"/>
      <c r="U368" s="208"/>
      <c r="V368" s="201">
        <f t="shared" si="9"/>
        <v>0</v>
      </c>
      <c r="W368" s="202"/>
      <c r="X368" s="202"/>
    </row>
    <row r="369" spans="1:24">
      <c r="A369" s="213" t="s">
        <v>416</v>
      </c>
      <c r="B369" s="213"/>
      <c r="C369" s="213"/>
      <c r="D369" s="203">
        <f>SUM(D370:D374)</f>
        <v>0</v>
      </c>
      <c r="E369" s="204"/>
      <c r="F369" s="205"/>
      <c r="G369" s="203">
        <f>SUM(G370:G374)</f>
        <v>0</v>
      </c>
      <c r="H369" s="204"/>
      <c r="I369" s="205"/>
      <c r="J369" s="203">
        <f>SUM(J370:J374)</f>
        <v>0</v>
      </c>
      <c r="K369" s="204"/>
      <c r="L369" s="205"/>
      <c r="M369" s="203">
        <f>SUM(M370:M374)</f>
        <v>0</v>
      </c>
      <c r="N369" s="204"/>
      <c r="O369" s="205"/>
      <c r="P369" s="203">
        <f>SUM(P370:P374)</f>
        <v>0</v>
      </c>
      <c r="Q369" s="204"/>
      <c r="R369" s="205"/>
      <c r="S369" s="203">
        <f>SUM(S370:S374)</f>
        <v>0</v>
      </c>
      <c r="T369" s="204"/>
      <c r="U369" s="205"/>
      <c r="V369" s="199">
        <f t="shared" si="9"/>
        <v>0</v>
      </c>
      <c r="W369" s="200"/>
      <c r="X369" s="200"/>
    </row>
    <row r="370" spans="1:24">
      <c r="A370" s="210" t="s">
        <v>375</v>
      </c>
      <c r="B370" s="210" t="s">
        <v>38</v>
      </c>
      <c r="C370" s="210" t="s">
        <v>38</v>
      </c>
      <c r="D370" s="206">
        <f>SUMIF('PB10'!$J$3:$J$201,"D2.10.1-Staff Costs",'PB10'!$I$3:$I$201)</f>
        <v>0</v>
      </c>
      <c r="E370" s="207"/>
      <c r="F370" s="208"/>
      <c r="G370" s="206">
        <f>SUMIF('PB10'!$J$3:$J$201,"D2.10.1-Office and Administration",'PB10'!$I$3:$I$201)</f>
        <v>0</v>
      </c>
      <c r="H370" s="207"/>
      <c r="I370" s="208"/>
      <c r="J370" s="206">
        <f>SUMIF('PB10'!$J$3:$J$201,"D2.10.1-Travel and Accommodation",'PB10'!$I$3:$I$201)</f>
        <v>0</v>
      </c>
      <c r="K370" s="207"/>
      <c r="L370" s="208"/>
      <c r="M370" s="206">
        <f>SUMIF('PB10'!$J$3:$J$201,"D2.10.1-External Expertise and Services",'PB10'!$I$3:$I$201)</f>
        <v>0</v>
      </c>
      <c r="N370" s="207"/>
      <c r="O370" s="208"/>
      <c r="P370" s="206">
        <f>SUMIF('PB10'!$J$3:$J$201,"D2.10.1-Equipment",'PB10'!$I$3:$I$201)</f>
        <v>0</v>
      </c>
      <c r="Q370" s="207"/>
      <c r="R370" s="208"/>
      <c r="S370" s="206">
        <f>SUMIF('PB10'!$J$3:$J$201,"D2.10.1-Infrastructure and Works",'PB10'!$I$3:$I$201)</f>
        <v>0</v>
      </c>
      <c r="T370" s="207"/>
      <c r="U370" s="208"/>
      <c r="V370" s="201">
        <f t="shared" si="9"/>
        <v>0</v>
      </c>
      <c r="W370" s="202"/>
      <c r="X370" s="202"/>
    </row>
    <row r="371" spans="1:24">
      <c r="A371" s="210" t="s">
        <v>381</v>
      </c>
      <c r="B371" s="210" t="s">
        <v>39</v>
      </c>
      <c r="C371" s="210" t="s">
        <v>39</v>
      </c>
      <c r="D371" s="206">
        <f>SUMIF('PB10'!$J$3:$J$201,"D2.10.2-Staff Costs",'PB10'!$I$3:$I$201)</f>
        <v>0</v>
      </c>
      <c r="E371" s="207"/>
      <c r="F371" s="208"/>
      <c r="G371" s="206">
        <f>SUMIF('PB10'!$J$3:$J$201,"D2.10.2-Office and Administration",'PB10'!$I$3:$I$201)</f>
        <v>0</v>
      </c>
      <c r="H371" s="207"/>
      <c r="I371" s="208"/>
      <c r="J371" s="206">
        <f>SUMIF('PB10'!$J$3:$J$201,"D2.10.2-Travel and Accommodation",'PB10'!$I$3:$I$201)</f>
        <v>0</v>
      </c>
      <c r="K371" s="207"/>
      <c r="L371" s="208"/>
      <c r="M371" s="206">
        <f>SUMIF('PB10'!$J$3:$J$201,"D2.10.2-External Expertise and Services",'PB10'!$I$3:$I$201)</f>
        <v>0</v>
      </c>
      <c r="N371" s="207"/>
      <c r="O371" s="208"/>
      <c r="P371" s="206">
        <f>SUMIF('PB10'!$J$3:$J$201,"D2.10.2-Equipment",'PB10'!$I$3:$I$201)</f>
        <v>0</v>
      </c>
      <c r="Q371" s="207"/>
      <c r="R371" s="208"/>
      <c r="S371" s="206">
        <f>SUMIF('PB10'!$J$3:$J$201,"D2.10.2-Infrastructure and Works",'PB10'!$I$3:$I$201)</f>
        <v>0</v>
      </c>
      <c r="T371" s="207"/>
      <c r="U371" s="208"/>
      <c r="V371" s="201">
        <f t="shared" si="9"/>
        <v>0</v>
      </c>
      <c r="W371" s="202"/>
      <c r="X371" s="202"/>
    </row>
    <row r="372" spans="1:24">
      <c r="A372" s="210" t="s">
        <v>387</v>
      </c>
      <c r="B372" s="210" t="s">
        <v>40</v>
      </c>
      <c r="C372" s="210" t="s">
        <v>40</v>
      </c>
      <c r="D372" s="206">
        <f>SUMIF('PB10'!$J$3:$J$201,"D2.10.3-Staff Costs",'PB10'!$I$3:$I$201)</f>
        <v>0</v>
      </c>
      <c r="E372" s="207"/>
      <c r="F372" s="208"/>
      <c r="G372" s="206">
        <f>SUMIF('PB10'!$J$3:$J$201,"D2.10.3-Office and Administration",'PB10'!$I$3:$I$201)</f>
        <v>0</v>
      </c>
      <c r="H372" s="207"/>
      <c r="I372" s="208"/>
      <c r="J372" s="206">
        <f>SUMIF('PB10'!$J$3:$J$201,"D2.10.3-Travel and Accommodation",'PB10'!$I$3:$I$201)</f>
        <v>0</v>
      </c>
      <c r="K372" s="207"/>
      <c r="L372" s="208"/>
      <c r="M372" s="206">
        <f>SUMIF('PB10'!$J$3:$J$201,"D2.10.3-External Expertise and Services",'PB10'!$I$3:$I$201)</f>
        <v>0</v>
      </c>
      <c r="N372" s="207"/>
      <c r="O372" s="208"/>
      <c r="P372" s="206">
        <f>SUMIF('PB10'!$J$3:$J$201,"D2.10.3-Equipment",'PB10'!$I$3:$I$201)</f>
        <v>0</v>
      </c>
      <c r="Q372" s="207"/>
      <c r="R372" s="208"/>
      <c r="S372" s="206">
        <f>SUMIF('PB10'!$J$3:$J$201,"D2.10.3-Infrastructure and Works",'PB10'!$I$3:$I$201)</f>
        <v>0</v>
      </c>
      <c r="T372" s="207"/>
      <c r="U372" s="208"/>
      <c r="V372" s="201">
        <f t="shared" si="9"/>
        <v>0</v>
      </c>
      <c r="W372" s="202"/>
      <c r="X372" s="202"/>
    </row>
    <row r="373" spans="1:24">
      <c r="A373" s="210" t="s">
        <v>393</v>
      </c>
      <c r="B373" s="210" t="s">
        <v>41</v>
      </c>
      <c r="C373" s="210" t="s">
        <v>41</v>
      </c>
      <c r="D373" s="206">
        <f>SUMIF('PB10'!$J$3:$J$201,"D2.10.4-Staff Costs",'PB10'!$I$3:$I$201)</f>
        <v>0</v>
      </c>
      <c r="E373" s="207"/>
      <c r="F373" s="208"/>
      <c r="G373" s="206">
        <f>SUMIF('PB10'!$J$3:$J$201,"D2.10.4-Office and Administration",'PB10'!$I$3:$I$201)</f>
        <v>0</v>
      </c>
      <c r="H373" s="207"/>
      <c r="I373" s="208"/>
      <c r="J373" s="206">
        <f>SUMIF('PB10'!$J$3:$J$201,"D2.10.4-Travel and Accommodation",'PB10'!$I$3:$I$201)</f>
        <v>0</v>
      </c>
      <c r="K373" s="207"/>
      <c r="L373" s="208"/>
      <c r="M373" s="206">
        <f>SUMIF('PB10'!$J$3:$J$201,"D2.10.4-External Expertise and Services",'PB10'!$I$3:$I$201)</f>
        <v>0</v>
      </c>
      <c r="N373" s="207"/>
      <c r="O373" s="208"/>
      <c r="P373" s="206">
        <f>SUMIF('PB10'!$J$3:$J$201,"D2.10.4-Equipment",'PB10'!$I$3:$I$201)</f>
        <v>0</v>
      </c>
      <c r="Q373" s="207"/>
      <c r="R373" s="208"/>
      <c r="S373" s="206">
        <f>SUMIF('PB10'!$J$3:$J$201,"D2.10.4-Infrastructure and Works",'PB10'!$I$3:$I$201)</f>
        <v>0</v>
      </c>
      <c r="T373" s="207"/>
      <c r="U373" s="208"/>
      <c r="V373" s="201">
        <f t="shared" si="9"/>
        <v>0</v>
      </c>
      <c r="W373" s="202"/>
      <c r="X373" s="202"/>
    </row>
    <row r="374" spans="1:24">
      <c r="A374" s="210" t="s">
        <v>399</v>
      </c>
      <c r="B374" s="210" t="s">
        <v>42</v>
      </c>
      <c r="C374" s="210" t="s">
        <v>42</v>
      </c>
      <c r="D374" s="206">
        <f>SUMIF('PB10'!$J$3:$J$201,"D2.10.5-Staff Costs",'PB10'!$I$3:$I$201)</f>
        <v>0</v>
      </c>
      <c r="E374" s="207"/>
      <c r="F374" s="208"/>
      <c r="G374" s="206">
        <f>SUMIF('PB10'!$J$3:$J$201,"D2.10.5-Office and Administration",'PB10'!$I$3:$I$201)</f>
        <v>0</v>
      </c>
      <c r="H374" s="207"/>
      <c r="I374" s="208"/>
      <c r="J374" s="206">
        <f>SUMIF('PB10'!$J$3:$J$201,"D2.10.5-Travel and Accommodation",'PB10'!$I$3:$I$201)</f>
        <v>0</v>
      </c>
      <c r="K374" s="207"/>
      <c r="L374" s="208"/>
      <c r="M374" s="206">
        <f>SUMIF('PB10'!$J$3:$J$201,"D2.10.5-External Expertise and Services",'PB10'!$I$3:$I$201)</f>
        <v>0</v>
      </c>
      <c r="N374" s="207"/>
      <c r="O374" s="208"/>
      <c r="P374" s="206">
        <f>SUMIF('PB10'!$J$3:$J$201,"D2.10.5-Equipment",'PB10'!$I$3:$I$201)</f>
        <v>0</v>
      </c>
      <c r="Q374" s="207"/>
      <c r="R374" s="208"/>
      <c r="S374" s="206">
        <f>SUMIF('PB10'!$J$3:$J$201,"D2.10.5-Infrastructure and Works",'PB10'!$I$3:$I$201)</f>
        <v>0</v>
      </c>
      <c r="T374" s="207"/>
      <c r="U374" s="208"/>
      <c r="V374" s="201">
        <f t="shared" si="9"/>
        <v>0</v>
      </c>
      <c r="W374" s="202"/>
      <c r="X374" s="202"/>
    </row>
    <row r="375" spans="1:24">
      <c r="A375" s="213" t="s">
        <v>417</v>
      </c>
      <c r="B375" s="213"/>
      <c r="C375" s="213" t="s">
        <v>418</v>
      </c>
      <c r="D375" s="203">
        <f>SUM(D376:D380)</f>
        <v>0</v>
      </c>
      <c r="E375" s="204"/>
      <c r="F375" s="205"/>
      <c r="G375" s="203">
        <f>SUM(G376:G380)</f>
        <v>0</v>
      </c>
      <c r="H375" s="204"/>
      <c r="I375" s="205"/>
      <c r="J375" s="203">
        <f>SUM(J376:J380)</f>
        <v>0</v>
      </c>
      <c r="K375" s="204"/>
      <c r="L375" s="205"/>
      <c r="M375" s="203">
        <f>SUM(M376:M380)</f>
        <v>0</v>
      </c>
      <c r="N375" s="204"/>
      <c r="O375" s="205"/>
      <c r="P375" s="203">
        <f>SUM(P376:P380)</f>
        <v>0</v>
      </c>
      <c r="Q375" s="204"/>
      <c r="R375" s="205"/>
      <c r="S375" s="203">
        <f>SUM(S376:S380)</f>
        <v>0</v>
      </c>
      <c r="T375" s="204"/>
      <c r="U375" s="205"/>
      <c r="V375" s="199">
        <f t="shared" si="9"/>
        <v>0</v>
      </c>
      <c r="W375" s="200"/>
      <c r="X375" s="200"/>
    </row>
    <row r="376" spans="1:24">
      <c r="A376" s="210" t="s">
        <v>376</v>
      </c>
      <c r="B376" s="210" t="s">
        <v>43</v>
      </c>
      <c r="C376" s="210" t="s">
        <v>43</v>
      </c>
      <c r="D376" s="206">
        <f>SUMIF('PB10'!$J$3:$J$201,"D3.10.1-Staff Costs",'PB10'!$I$3:$I$201)</f>
        <v>0</v>
      </c>
      <c r="E376" s="207"/>
      <c r="F376" s="208"/>
      <c r="G376" s="206">
        <f>SUMIF('PB10'!$J$3:$J$201,"D3.10.1-Office and Administration",'PB10'!$I$3:$I$201)</f>
        <v>0</v>
      </c>
      <c r="H376" s="207"/>
      <c r="I376" s="208"/>
      <c r="J376" s="206">
        <f>SUMIF('PB10'!$J$3:$J$201,"D3.10.1-Travel and Accommodation",'PB10'!$I$3:$I$201)</f>
        <v>0</v>
      </c>
      <c r="K376" s="207"/>
      <c r="L376" s="208"/>
      <c r="M376" s="206">
        <f>SUMIF('PB10'!$J$3:$J$201,"D3.10.1-External Expertise and Services",'PB10'!$I$3:$I$201)</f>
        <v>0</v>
      </c>
      <c r="N376" s="207"/>
      <c r="O376" s="208"/>
      <c r="P376" s="206">
        <f>SUMIF('PB10'!$J$3:$J$201,"D3.10.1-Equipment",'PB10'!$I$3:$I$201)</f>
        <v>0</v>
      </c>
      <c r="Q376" s="207"/>
      <c r="R376" s="208"/>
      <c r="S376" s="206">
        <f>SUMIF('PB10'!$J$3:$J$201,"D3.10.1-Infrastructure and Works",'PB10'!$I$3:$I$201)</f>
        <v>0</v>
      </c>
      <c r="T376" s="207"/>
      <c r="U376" s="208"/>
      <c r="V376" s="201">
        <f t="shared" si="9"/>
        <v>0</v>
      </c>
      <c r="W376" s="202"/>
      <c r="X376" s="202"/>
    </row>
    <row r="377" spans="1:24">
      <c r="A377" s="210" t="s">
        <v>382</v>
      </c>
      <c r="B377" s="210" t="s">
        <v>44</v>
      </c>
      <c r="C377" s="210" t="s">
        <v>44</v>
      </c>
      <c r="D377" s="206">
        <f>SUMIF('PB10'!$J$3:$J$201,"D3.10.2-Staff Costs",'PB10'!$I$3:$I$201)</f>
        <v>0</v>
      </c>
      <c r="E377" s="207"/>
      <c r="F377" s="208"/>
      <c r="G377" s="206">
        <f>SUMIF('PB10'!$J$3:$J$201,"D3.10.2-Office and Administration",'PB10'!$I$3:$I$201)</f>
        <v>0</v>
      </c>
      <c r="H377" s="207"/>
      <c r="I377" s="208"/>
      <c r="J377" s="206">
        <f>SUMIF('PB10'!$J$3:$J$201,"D3.10.2-Travel and Accommodation",'PB10'!$I$3:$I$201)</f>
        <v>0</v>
      </c>
      <c r="K377" s="207"/>
      <c r="L377" s="208"/>
      <c r="M377" s="206">
        <f>SUMIF('PB10'!$J$3:$J$201,"D3.10.2-External Expertise and Services",'PB10'!$I$3:$I$201)</f>
        <v>0</v>
      </c>
      <c r="N377" s="207"/>
      <c r="O377" s="208"/>
      <c r="P377" s="206">
        <f>SUMIF('PB10'!$J$3:$J$201,"D3.10.2-Equipment",'PB10'!$I$3:$I$201)</f>
        <v>0</v>
      </c>
      <c r="Q377" s="207"/>
      <c r="R377" s="208"/>
      <c r="S377" s="206">
        <f>SUMIF('PB10'!$J$3:$J$201,"D3.10.2-Infrastructure and Works",'PB10'!$I$3:$I$201)</f>
        <v>0</v>
      </c>
      <c r="T377" s="207"/>
      <c r="U377" s="208"/>
      <c r="V377" s="201">
        <f t="shared" si="9"/>
        <v>0</v>
      </c>
      <c r="W377" s="202"/>
      <c r="X377" s="202"/>
    </row>
    <row r="378" spans="1:24">
      <c r="A378" s="210" t="s">
        <v>388</v>
      </c>
      <c r="B378" s="210" t="s">
        <v>45</v>
      </c>
      <c r="C378" s="210" t="s">
        <v>45</v>
      </c>
      <c r="D378" s="206">
        <f>SUMIF('PB10'!$J$3:$J$201,"D3.10.3-Staff Costs",'PB10'!$I$3:$I$201)</f>
        <v>0</v>
      </c>
      <c r="E378" s="207"/>
      <c r="F378" s="208"/>
      <c r="G378" s="206">
        <f>SUMIF('PB10'!$J$3:$J$201,"D3.10.3-Office and Administration",'PB10'!$I$3:$I$201)</f>
        <v>0</v>
      </c>
      <c r="H378" s="207"/>
      <c r="I378" s="208"/>
      <c r="J378" s="206">
        <f>SUMIF('PB10'!$J$3:$J$201,"D3.10.3-Travel and Accommodation",'PB10'!$I$3:$I$201)</f>
        <v>0</v>
      </c>
      <c r="K378" s="207"/>
      <c r="L378" s="208"/>
      <c r="M378" s="206">
        <f>SUMIF('PB10'!$J$3:$J$201,"D3.10.3-External Expertise and Services",'PB10'!$I$3:$I$201)</f>
        <v>0</v>
      </c>
      <c r="N378" s="207"/>
      <c r="O378" s="208"/>
      <c r="P378" s="206">
        <f>SUMIF('PB10'!$J$3:$J$201,"D3.10.3-Equipment",'PB10'!$I$3:$I$201)</f>
        <v>0</v>
      </c>
      <c r="Q378" s="207"/>
      <c r="R378" s="208"/>
      <c r="S378" s="206">
        <f>SUMIF('PB10'!$J$3:$J$201,"D3.10.3-Infrastructure and Works",'PB10'!$I$3:$I$201)</f>
        <v>0</v>
      </c>
      <c r="T378" s="207"/>
      <c r="U378" s="208"/>
      <c r="V378" s="201">
        <f t="shared" si="9"/>
        <v>0</v>
      </c>
      <c r="W378" s="202"/>
      <c r="X378" s="202"/>
    </row>
    <row r="379" spans="1:24">
      <c r="A379" s="210" t="s">
        <v>394</v>
      </c>
      <c r="B379" s="210" t="s">
        <v>46</v>
      </c>
      <c r="C379" s="210" t="s">
        <v>46</v>
      </c>
      <c r="D379" s="206">
        <f>SUMIF('PB10'!$J$3:$J$201,"D3.10.4-Staff Costs",'PB10'!$I$3:$I$201)</f>
        <v>0</v>
      </c>
      <c r="E379" s="207"/>
      <c r="F379" s="208"/>
      <c r="G379" s="206">
        <f>SUMIF('PB10'!$J$3:$J$201,"D3.10.4-Office and Administration",'PB10'!$I$3:$I$201)</f>
        <v>0</v>
      </c>
      <c r="H379" s="207"/>
      <c r="I379" s="208"/>
      <c r="J379" s="206">
        <f>SUMIF('PB10'!$J$3:$J$201,"D3.10.4-Travel and Accommodation",'PB10'!$I$3:$I$201)</f>
        <v>0</v>
      </c>
      <c r="K379" s="207"/>
      <c r="L379" s="208"/>
      <c r="M379" s="206">
        <f>SUMIF('PB10'!$J$3:$J$201,"D3.10.4-External Expertise and Services",'PB10'!$I$3:$I$201)</f>
        <v>0</v>
      </c>
      <c r="N379" s="207"/>
      <c r="O379" s="208"/>
      <c r="P379" s="206">
        <f>SUMIF('PB10'!$J$3:$J$201,"D3.10.4-Equipment",'PB10'!$I$3:$I$201)</f>
        <v>0</v>
      </c>
      <c r="Q379" s="207"/>
      <c r="R379" s="208"/>
      <c r="S379" s="206">
        <f>SUMIF('PB10'!$J$3:$J$201,"D3.10.4-Infrastructure and Works",'PB10'!$I$3:$I$201)</f>
        <v>0</v>
      </c>
      <c r="T379" s="207"/>
      <c r="U379" s="208"/>
      <c r="V379" s="201">
        <f t="shared" si="9"/>
        <v>0</v>
      </c>
      <c r="W379" s="202"/>
      <c r="X379" s="202"/>
    </row>
    <row r="380" spans="1:24">
      <c r="A380" s="210" t="s">
        <v>400</v>
      </c>
      <c r="B380" s="210" t="s">
        <v>47</v>
      </c>
      <c r="C380" s="210" t="s">
        <v>47</v>
      </c>
      <c r="D380" s="206">
        <f>SUMIF('PB10'!$J$3:$J$201,"D3.10.5-Staff Costs",'PB10'!$I$3:$I$201)</f>
        <v>0</v>
      </c>
      <c r="E380" s="207"/>
      <c r="F380" s="208"/>
      <c r="G380" s="206">
        <f>SUMIF('PB10'!$J$3:$J$201,"D3.10.5-Office and Administration",'PB10'!$I$3:$I$201)</f>
        <v>0</v>
      </c>
      <c r="H380" s="207"/>
      <c r="I380" s="208"/>
      <c r="J380" s="206">
        <f>SUMIF('PB10'!$J$3:$J$201,"D3.10.5-Travel and Accommodation",'PB10'!$I$3:$I$201)</f>
        <v>0</v>
      </c>
      <c r="K380" s="207"/>
      <c r="L380" s="208"/>
      <c r="M380" s="206">
        <f>SUMIF('PB10'!$J$3:$J$201,"D3.10.5-External Expertise and Services",'PB10'!$I$3:$I$201)</f>
        <v>0</v>
      </c>
      <c r="N380" s="207"/>
      <c r="O380" s="208"/>
      <c r="P380" s="206">
        <f>SUMIF('PB10'!$J$3:$J$201,"D3.10.5-Equipment",'PB10'!$I$3:$I$201)</f>
        <v>0</v>
      </c>
      <c r="Q380" s="207"/>
      <c r="R380" s="208"/>
      <c r="S380" s="206">
        <f>SUMIF('PB10'!$J$3:$J$201,"D3.10.5-Infrastructure and Works",'PB10'!$I$3:$I$201)</f>
        <v>0</v>
      </c>
      <c r="T380" s="207"/>
      <c r="U380" s="208"/>
      <c r="V380" s="201">
        <f t="shared" si="9"/>
        <v>0</v>
      </c>
      <c r="W380" s="202"/>
      <c r="X380" s="202"/>
    </row>
    <row r="381" spans="1:24">
      <c r="A381" s="213" t="s">
        <v>419</v>
      </c>
      <c r="B381" s="213"/>
      <c r="C381" s="213" t="s">
        <v>418</v>
      </c>
      <c r="D381" s="203">
        <f>SUM(D382:D386)</f>
        <v>0</v>
      </c>
      <c r="E381" s="204"/>
      <c r="F381" s="205"/>
      <c r="G381" s="203">
        <f>SUM(G382:G386)</f>
        <v>0</v>
      </c>
      <c r="H381" s="204"/>
      <c r="I381" s="205"/>
      <c r="J381" s="203">
        <f>SUM(J382:J386)</f>
        <v>0</v>
      </c>
      <c r="K381" s="204"/>
      <c r="L381" s="205"/>
      <c r="M381" s="203">
        <f>SUM(M382:M386)</f>
        <v>0</v>
      </c>
      <c r="N381" s="204"/>
      <c r="O381" s="205"/>
      <c r="P381" s="203">
        <f>SUM(P382:P386)</f>
        <v>0</v>
      </c>
      <c r="Q381" s="204"/>
      <c r="R381" s="205"/>
      <c r="S381" s="203">
        <f>SUM(S382:S386)</f>
        <v>0</v>
      </c>
      <c r="T381" s="204"/>
      <c r="U381" s="205"/>
      <c r="V381" s="199">
        <f t="shared" si="9"/>
        <v>0</v>
      </c>
      <c r="W381" s="200"/>
      <c r="X381" s="200"/>
    </row>
    <row r="382" spans="1:24">
      <c r="A382" s="210" t="s">
        <v>377</v>
      </c>
      <c r="B382" s="210" t="s">
        <v>48</v>
      </c>
      <c r="C382" s="210" t="s">
        <v>48</v>
      </c>
      <c r="D382" s="206">
        <f>SUMIF('PB10'!$J$3:$J$201,"D4.10.1-Staff Costs",'PB10'!$I$3:$I$201)</f>
        <v>0</v>
      </c>
      <c r="E382" s="207"/>
      <c r="F382" s="208"/>
      <c r="G382" s="206">
        <f>SUMIF('PB10'!$J$3:$J$201,"D4.10.1-Office and Administration",'PB10'!$I$3:$I$201)</f>
        <v>0</v>
      </c>
      <c r="H382" s="207"/>
      <c r="I382" s="208"/>
      <c r="J382" s="206">
        <f>SUMIF('PB10'!$J$3:$J$201,"D4.10.1-Travel and Accommodation",'PB10'!$I$3:$I$201)</f>
        <v>0</v>
      </c>
      <c r="K382" s="207"/>
      <c r="L382" s="208"/>
      <c r="M382" s="206">
        <f>SUMIF('PB10'!$J$3:$J$201,"D4.10.1-External Expertise and Services",'PB10'!$I$3:$I$201)</f>
        <v>0</v>
      </c>
      <c r="N382" s="207"/>
      <c r="O382" s="208"/>
      <c r="P382" s="206">
        <f>SUMIF('PB10'!$J$3:$J$201,"D4.10.1-Equipment",'PB10'!$I$3:$I$201)</f>
        <v>0</v>
      </c>
      <c r="Q382" s="207"/>
      <c r="R382" s="208"/>
      <c r="S382" s="206">
        <f>SUMIF('PB10'!$J$3:$J$201,"D4.10.1-Infrastructure and Works",'PB10'!$I$3:$I$201)</f>
        <v>0</v>
      </c>
      <c r="T382" s="207"/>
      <c r="U382" s="208"/>
      <c r="V382" s="201">
        <f t="shared" si="9"/>
        <v>0</v>
      </c>
      <c r="W382" s="202"/>
      <c r="X382" s="202"/>
    </row>
    <row r="383" spans="1:24">
      <c r="A383" s="210" t="s">
        <v>383</v>
      </c>
      <c r="B383" s="210" t="s">
        <v>49</v>
      </c>
      <c r="C383" s="210" t="s">
        <v>49</v>
      </c>
      <c r="D383" s="206">
        <f>SUMIF('PB10'!$J$3:$J$201,"D4.10.2-Staff Costs",'PB10'!$I$3:$I$201)</f>
        <v>0</v>
      </c>
      <c r="E383" s="207"/>
      <c r="F383" s="208"/>
      <c r="G383" s="206">
        <f>SUMIF('PB10'!$J$3:$J$201,"D4.10.2-Office and Administration",'PB10'!$I$3:$I$201)</f>
        <v>0</v>
      </c>
      <c r="H383" s="207"/>
      <c r="I383" s="208"/>
      <c r="J383" s="206">
        <f>SUMIF('PB10'!$J$3:$J$201,"D4.10.2-Travel and Accommodation",'PB10'!$I$3:$I$201)</f>
        <v>0</v>
      </c>
      <c r="K383" s="207"/>
      <c r="L383" s="208"/>
      <c r="M383" s="206">
        <f>SUMIF('PB10'!$J$3:$J$201,"D4.10.2-External Expertise and Services",'PB10'!$I$3:$I$201)</f>
        <v>0</v>
      </c>
      <c r="N383" s="207"/>
      <c r="O383" s="208"/>
      <c r="P383" s="206">
        <f>SUMIF('PB10'!$J$3:$J$201,"D4.10.2-Equipment",'PB10'!$I$3:$I$201)</f>
        <v>0</v>
      </c>
      <c r="Q383" s="207"/>
      <c r="R383" s="208"/>
      <c r="S383" s="206">
        <f>SUMIF('PB10'!$J$3:$J$201,"D4.10.2-Infrastructure and Works",'PB10'!$I$3:$I$201)</f>
        <v>0</v>
      </c>
      <c r="T383" s="207"/>
      <c r="U383" s="208"/>
      <c r="V383" s="201">
        <f t="shared" si="9"/>
        <v>0</v>
      </c>
      <c r="W383" s="202"/>
      <c r="X383" s="202"/>
    </row>
    <row r="384" spans="1:24">
      <c r="A384" s="210" t="s">
        <v>389</v>
      </c>
      <c r="B384" s="210" t="s">
        <v>50</v>
      </c>
      <c r="C384" s="210" t="s">
        <v>50</v>
      </c>
      <c r="D384" s="206">
        <f>SUMIF('PB10'!$J$3:$J$201,"D4.10.3-Staff Costs",'PB10'!$I$3:$I$201)</f>
        <v>0</v>
      </c>
      <c r="E384" s="207"/>
      <c r="F384" s="208"/>
      <c r="G384" s="206">
        <f>SUMIF('PB10'!$J$3:$J$201,"D4.10.3-Office and Administration",'PB10'!$I$3:$I$201)</f>
        <v>0</v>
      </c>
      <c r="H384" s="207"/>
      <c r="I384" s="208"/>
      <c r="J384" s="206">
        <f>SUMIF('PB10'!$J$3:$J$201,"D4.10.3-Travel and Accommodation",'PB10'!$I$3:$I$201)</f>
        <v>0</v>
      </c>
      <c r="K384" s="207"/>
      <c r="L384" s="208"/>
      <c r="M384" s="206">
        <f>SUMIF('PB10'!$J$3:$J$201,"D4.10.3-External Expertise and Services",'PB10'!$I$3:$I$201)</f>
        <v>0</v>
      </c>
      <c r="N384" s="207"/>
      <c r="O384" s="208"/>
      <c r="P384" s="206">
        <f>SUMIF('PB10'!$J$3:$J$201,"D4.10.3-Equipment",'PB10'!$I$3:$I$201)</f>
        <v>0</v>
      </c>
      <c r="Q384" s="207"/>
      <c r="R384" s="208"/>
      <c r="S384" s="206">
        <f>SUMIF('PB10'!$J$3:$J$201,"D4.10.3-Infrastructure and Works",'PB10'!$I$3:$I$201)</f>
        <v>0</v>
      </c>
      <c r="T384" s="207"/>
      <c r="U384" s="208"/>
      <c r="V384" s="201">
        <f t="shared" si="9"/>
        <v>0</v>
      </c>
      <c r="W384" s="202"/>
      <c r="X384" s="202"/>
    </row>
    <row r="385" spans="1:24">
      <c r="A385" s="210" t="s">
        <v>395</v>
      </c>
      <c r="B385" s="210" t="s">
        <v>51</v>
      </c>
      <c r="C385" s="210" t="s">
        <v>51</v>
      </c>
      <c r="D385" s="206">
        <f>SUMIF('PB10'!$J$3:$J$201,"D4.10.4-Staff Costs",'PB10'!$I$3:$I$201)</f>
        <v>0</v>
      </c>
      <c r="E385" s="207"/>
      <c r="F385" s="208"/>
      <c r="G385" s="206">
        <f>SUMIF('PB10'!$J$3:$J$201,"D4.10.4-Office and Administration",'PB10'!$I$3:$I$201)</f>
        <v>0</v>
      </c>
      <c r="H385" s="207"/>
      <c r="I385" s="208"/>
      <c r="J385" s="206">
        <f>SUMIF('PB10'!$J$3:$J$201,"D4.10.4-Travel and Accommodation",'PB10'!$I$3:$I$201)</f>
        <v>0</v>
      </c>
      <c r="K385" s="207"/>
      <c r="L385" s="208"/>
      <c r="M385" s="206">
        <f>SUMIF('PB10'!$J$3:$J$201,"D4.10.4-External Expertise and Services",'PB10'!$I$3:$I$201)</f>
        <v>0</v>
      </c>
      <c r="N385" s="207"/>
      <c r="O385" s="208"/>
      <c r="P385" s="206">
        <f>SUMIF('PB10'!$J$3:$J$201,"D4.10.4-Equipment",'PB10'!$I$3:$I$201)</f>
        <v>0</v>
      </c>
      <c r="Q385" s="207"/>
      <c r="R385" s="208"/>
      <c r="S385" s="206">
        <f>SUMIF('PB10'!$J$3:$J$201,"D4.10.4-Infrastructure and Works",'PB10'!$I$3:$I$201)</f>
        <v>0</v>
      </c>
      <c r="T385" s="207"/>
      <c r="U385" s="208"/>
      <c r="V385" s="201">
        <f t="shared" si="9"/>
        <v>0</v>
      </c>
      <c r="W385" s="202"/>
      <c r="X385" s="202"/>
    </row>
    <row r="386" spans="1:24">
      <c r="A386" s="210" t="s">
        <v>401</v>
      </c>
      <c r="B386" s="210" t="s">
        <v>52</v>
      </c>
      <c r="C386" s="210" t="s">
        <v>52</v>
      </c>
      <c r="D386" s="206">
        <f>SUMIF('PB10'!$J$3:$J$201,"D4.10.5-Staff Costs",'PB10'!$I$3:$I$201)</f>
        <v>0</v>
      </c>
      <c r="E386" s="207"/>
      <c r="F386" s="208"/>
      <c r="G386" s="206">
        <f>SUMIF('PB10'!$J$3:$J$201,"D4.10.5-Office and Administration",'PB10'!$I$3:$I$201)</f>
        <v>0</v>
      </c>
      <c r="H386" s="207"/>
      <c r="I386" s="208"/>
      <c r="J386" s="206">
        <f>SUMIF('PB10'!$J$3:$J$201,"D4.10.5-Travel and Accommodation",'PB10'!$I$3:$I$201)</f>
        <v>0</v>
      </c>
      <c r="K386" s="207"/>
      <c r="L386" s="208"/>
      <c r="M386" s="206">
        <f>SUMIF('PB10'!$J$3:$J$201,"D4.10.5-External Expertise and Services",'PB10'!$I$3:$I$201)</f>
        <v>0</v>
      </c>
      <c r="N386" s="207"/>
      <c r="O386" s="208"/>
      <c r="P386" s="206">
        <f>SUMIF('PB10'!$J$3:$J$201,"D4.10.5-Equipment",'PB10'!$I$3:$I$201)</f>
        <v>0</v>
      </c>
      <c r="Q386" s="207"/>
      <c r="R386" s="208"/>
      <c r="S386" s="206">
        <f>SUMIF('PB10'!$J$3:$J$201,"D4.10.5-Infrastructure and Works",'PB10'!$I$3:$I$201)</f>
        <v>0</v>
      </c>
      <c r="T386" s="207"/>
      <c r="U386" s="208"/>
      <c r="V386" s="201">
        <f t="shared" si="9"/>
        <v>0</v>
      </c>
      <c r="W386" s="202"/>
      <c r="X386" s="202"/>
    </row>
    <row r="387" spans="1:24">
      <c r="A387" s="213" t="s">
        <v>420</v>
      </c>
      <c r="B387" s="213"/>
      <c r="C387" s="213" t="s">
        <v>418</v>
      </c>
      <c r="D387" s="203">
        <f>SUM(D388:D392)</f>
        <v>0</v>
      </c>
      <c r="E387" s="204"/>
      <c r="F387" s="205"/>
      <c r="G387" s="203">
        <f>SUM(G388:G392)</f>
        <v>0</v>
      </c>
      <c r="H387" s="204"/>
      <c r="I387" s="205"/>
      <c r="J387" s="203">
        <f>SUM(J388:J392)</f>
        <v>0</v>
      </c>
      <c r="K387" s="204"/>
      <c r="L387" s="205"/>
      <c r="M387" s="203">
        <f>SUM(M388:M392)</f>
        <v>0</v>
      </c>
      <c r="N387" s="204"/>
      <c r="O387" s="205"/>
      <c r="P387" s="203">
        <f>SUM(P388:P392)</f>
        <v>0</v>
      </c>
      <c r="Q387" s="204"/>
      <c r="R387" s="205"/>
      <c r="S387" s="203">
        <f>SUM(S388:S392)</f>
        <v>0</v>
      </c>
      <c r="T387" s="204"/>
      <c r="U387" s="205"/>
      <c r="V387" s="199">
        <f t="shared" si="9"/>
        <v>0</v>
      </c>
      <c r="W387" s="200"/>
      <c r="X387" s="200"/>
    </row>
    <row r="388" spans="1:24">
      <c r="A388" s="210" t="s">
        <v>378</v>
      </c>
      <c r="B388" s="210" t="s">
        <v>53</v>
      </c>
      <c r="C388" s="210" t="s">
        <v>53</v>
      </c>
      <c r="D388" s="206">
        <f>SUMIF('PB10'!$J$3:$J$201,"D5.10.1-Staff Costs",'PB10'!$I$3:$I$201)</f>
        <v>0</v>
      </c>
      <c r="E388" s="207"/>
      <c r="F388" s="208"/>
      <c r="G388" s="206">
        <f>SUMIF('PB10'!$J$3:$J$201,"D5.10.1-Office and Administration",'PB10'!$I$3:$I$201)</f>
        <v>0</v>
      </c>
      <c r="H388" s="207"/>
      <c r="I388" s="208"/>
      <c r="J388" s="206">
        <f>SUMIF('PB10'!$J$3:$J$201,"D5.10.1-Travel and Accommodation",'PB10'!$I$3:$I$201)</f>
        <v>0</v>
      </c>
      <c r="K388" s="207"/>
      <c r="L388" s="208"/>
      <c r="M388" s="206">
        <f>SUMIF('PB10'!$J$3:$J$201,"D5.10.1-External Expertise and Services",'PB10'!$I$3:$I$201)</f>
        <v>0</v>
      </c>
      <c r="N388" s="207"/>
      <c r="O388" s="208"/>
      <c r="P388" s="206">
        <f>SUMIF('PB10'!$J$3:$J$201,"D5.10.1-Equipment",'PB10'!$I$3:$I$201)</f>
        <v>0</v>
      </c>
      <c r="Q388" s="207"/>
      <c r="R388" s="208"/>
      <c r="S388" s="206">
        <f>SUMIF('PB10'!$J$3:$J$201,"D5.10.1-Infrastructure and Works",'PB10'!$I$3:$I$201)</f>
        <v>0</v>
      </c>
      <c r="T388" s="207"/>
      <c r="U388" s="208"/>
      <c r="V388" s="201">
        <f t="shared" si="9"/>
        <v>0</v>
      </c>
      <c r="W388" s="202"/>
      <c r="X388" s="202"/>
    </row>
    <row r="389" spans="1:24">
      <c r="A389" s="210" t="s">
        <v>384</v>
      </c>
      <c r="B389" s="210" t="s">
        <v>54</v>
      </c>
      <c r="C389" s="210" t="s">
        <v>54</v>
      </c>
      <c r="D389" s="206">
        <f>SUMIF('PB10'!$J$3:$J$201,"D5.10.2-Staff Costs",'PB10'!$I$3:$I$201)</f>
        <v>0</v>
      </c>
      <c r="E389" s="207"/>
      <c r="F389" s="208"/>
      <c r="G389" s="206">
        <f>SUMIF('PB10'!$J$3:$J$201,"D5.10.2-Office and Administration",'PB10'!$I$3:$I$201)</f>
        <v>0</v>
      </c>
      <c r="H389" s="207"/>
      <c r="I389" s="208"/>
      <c r="J389" s="206">
        <f>SUMIF('PB10'!$J$3:$J$201,"D5.10.2-Travel and Accommodation",'PB10'!$I$3:$I$201)</f>
        <v>0</v>
      </c>
      <c r="K389" s="207"/>
      <c r="L389" s="208"/>
      <c r="M389" s="206">
        <f>SUMIF('PB10'!$J$3:$J$201,"D5.10.2-External Expertise and Services",'PB10'!$I$3:$I$201)</f>
        <v>0</v>
      </c>
      <c r="N389" s="207"/>
      <c r="O389" s="208"/>
      <c r="P389" s="206">
        <f>SUMIF('PB10'!$J$3:$J$201,"D5.10.2-Equipment",'PB10'!$I$3:$I$201)</f>
        <v>0</v>
      </c>
      <c r="Q389" s="207"/>
      <c r="R389" s="208"/>
      <c r="S389" s="206">
        <f>SUMIF('PB10'!$J$3:$J$201,"D5.10.2-Infrastructure and Works",'PB10'!$I$3:$I$201)</f>
        <v>0</v>
      </c>
      <c r="T389" s="207"/>
      <c r="U389" s="208"/>
      <c r="V389" s="201">
        <f t="shared" si="9"/>
        <v>0</v>
      </c>
      <c r="W389" s="202"/>
      <c r="X389" s="202"/>
    </row>
    <row r="390" spans="1:24">
      <c r="A390" s="210" t="s">
        <v>390</v>
      </c>
      <c r="B390" s="210" t="s">
        <v>55</v>
      </c>
      <c r="C390" s="210" t="s">
        <v>55</v>
      </c>
      <c r="D390" s="206">
        <f>SUMIF('PB10'!$J$3:$J$201,"D5.10.3-Staff Costs",'PB10'!$I$3:$I$201)</f>
        <v>0</v>
      </c>
      <c r="E390" s="207"/>
      <c r="F390" s="208"/>
      <c r="G390" s="206">
        <f>SUMIF('PB10'!$J$3:$J$201,"D5.10.3-Office and Administration",'PB10'!$I$3:$I$201)</f>
        <v>0</v>
      </c>
      <c r="H390" s="207"/>
      <c r="I390" s="208"/>
      <c r="J390" s="206">
        <f>SUMIF('PB10'!$J$3:$J$201,"D5.10.3-Travel and Accommodation",'PB10'!$I$3:$I$201)</f>
        <v>0</v>
      </c>
      <c r="K390" s="207"/>
      <c r="L390" s="208"/>
      <c r="M390" s="206">
        <f>SUMIF('PB10'!$J$3:$J$201,"D5.10.3-External Expertise and Services",'PB10'!$I$3:$I$201)</f>
        <v>0</v>
      </c>
      <c r="N390" s="207"/>
      <c r="O390" s="208"/>
      <c r="P390" s="206">
        <f>SUMIF('PB10'!$J$3:$J$201,"D5.10.3-Equipment",'PB10'!$I$3:$I$201)</f>
        <v>0</v>
      </c>
      <c r="Q390" s="207"/>
      <c r="R390" s="208"/>
      <c r="S390" s="206">
        <f>SUMIF('PB10'!$J$3:$J$201,"D5.10.3-Infrastructure and Works",'PB10'!$I$3:$I$201)</f>
        <v>0</v>
      </c>
      <c r="T390" s="207"/>
      <c r="U390" s="208"/>
      <c r="V390" s="201">
        <f t="shared" si="9"/>
        <v>0</v>
      </c>
      <c r="W390" s="202"/>
      <c r="X390" s="202"/>
    </row>
    <row r="391" spans="1:24">
      <c r="A391" s="210" t="s">
        <v>396</v>
      </c>
      <c r="B391" s="210" t="s">
        <v>56</v>
      </c>
      <c r="C391" s="210" t="s">
        <v>56</v>
      </c>
      <c r="D391" s="206">
        <f>SUMIF('PB10'!$J$3:$J$201,"D5.10.4-Staff Costs",'PB10'!$I$3:$I$201)</f>
        <v>0</v>
      </c>
      <c r="E391" s="207"/>
      <c r="F391" s="208"/>
      <c r="G391" s="206">
        <f>SUMIF('PB10'!$J$3:$J$201,"D5.10.4-Office and Administration",'PB10'!$I$3:$I$201)</f>
        <v>0</v>
      </c>
      <c r="H391" s="207"/>
      <c r="I391" s="208"/>
      <c r="J391" s="206">
        <f>SUMIF('PB10'!$J$3:$J$201,"D5.10.4-Travel and Accommodation",'PB10'!$I$3:$I$201)</f>
        <v>0</v>
      </c>
      <c r="K391" s="207"/>
      <c r="L391" s="208"/>
      <c r="M391" s="206">
        <f>SUMIF('PB10'!$J$3:$J$201,"D5.10.4-External Expertise and Services",'PB10'!$I$3:$I$201)</f>
        <v>0</v>
      </c>
      <c r="N391" s="207"/>
      <c r="O391" s="208"/>
      <c r="P391" s="206">
        <f>SUMIF('PB10'!$J$3:$J$201,"D5.10.4-Equipment",'PB10'!$I$3:$I$201)</f>
        <v>0</v>
      </c>
      <c r="Q391" s="207"/>
      <c r="R391" s="208"/>
      <c r="S391" s="206">
        <f>SUMIF('PB10'!$J$3:$J$201,"D5.10.4-Infrastructure and Works",'PB10'!$I$3:$I$201)</f>
        <v>0</v>
      </c>
      <c r="T391" s="207"/>
      <c r="U391" s="208"/>
      <c r="V391" s="201">
        <f t="shared" si="9"/>
        <v>0</v>
      </c>
      <c r="W391" s="202"/>
      <c r="X391" s="202"/>
    </row>
    <row r="392" spans="1:24">
      <c r="A392" s="210" t="s">
        <v>402</v>
      </c>
      <c r="B392" s="210" t="s">
        <v>57</v>
      </c>
      <c r="C392" s="210" t="s">
        <v>57</v>
      </c>
      <c r="D392" s="206">
        <f>SUMIF('PB10'!$J$3:$J$201,"D5.10.5-Staff Costs",'PB10'!$I$3:$I$201)</f>
        <v>0</v>
      </c>
      <c r="E392" s="207"/>
      <c r="F392" s="208"/>
      <c r="G392" s="206">
        <f>SUMIF('PB10'!$J$3:$J$201,"D5.10.5-Office and Administration",'PB10'!$I$3:$I$201)</f>
        <v>0</v>
      </c>
      <c r="H392" s="207"/>
      <c r="I392" s="208"/>
      <c r="J392" s="206">
        <f>SUMIF('PB10'!$J$3:$J$201,"D5.10.5-Travel and Accommodation",'PB10'!$I$3:$I$201)</f>
        <v>0</v>
      </c>
      <c r="K392" s="207"/>
      <c r="L392" s="208"/>
      <c r="M392" s="206">
        <f>SUMIF('PB10'!$J$3:$J$201,"D5.10.5-External Expertise and Services",'PB10'!$I$3:$I$201)</f>
        <v>0</v>
      </c>
      <c r="N392" s="207"/>
      <c r="O392" s="208"/>
      <c r="P392" s="206">
        <f>SUMIF('PB10'!$J$3:$J$201,"D5.10.5-Equipment",'PB10'!$I$3:$I$201)</f>
        <v>0</v>
      </c>
      <c r="Q392" s="207"/>
      <c r="R392" s="208"/>
      <c r="S392" s="206">
        <f>SUMIF('PB10'!$J$3:$J$201,"D5.10.5-Infrastructure and Works",'PB10'!$I$3:$I$201)</f>
        <v>0</v>
      </c>
      <c r="T392" s="207"/>
      <c r="U392" s="208"/>
      <c r="V392" s="201">
        <f t="shared" si="9"/>
        <v>0</v>
      </c>
      <c r="W392" s="202"/>
      <c r="X392" s="202"/>
    </row>
    <row r="393" spans="1:24">
      <c r="A393" s="213" t="s">
        <v>421</v>
      </c>
      <c r="B393" s="213"/>
      <c r="C393" s="213" t="s">
        <v>418</v>
      </c>
      <c r="D393" s="203">
        <f>SUM(D394:D398)</f>
        <v>0</v>
      </c>
      <c r="E393" s="204"/>
      <c r="F393" s="205"/>
      <c r="G393" s="203">
        <f>SUM(G394:G398)</f>
        <v>0</v>
      </c>
      <c r="H393" s="204"/>
      <c r="I393" s="205"/>
      <c r="J393" s="203">
        <f>SUM(J394:J398)</f>
        <v>0</v>
      </c>
      <c r="K393" s="204"/>
      <c r="L393" s="205"/>
      <c r="M393" s="203">
        <f>SUM(M394:M398)</f>
        <v>0</v>
      </c>
      <c r="N393" s="204"/>
      <c r="O393" s="205"/>
      <c r="P393" s="203">
        <f>SUM(P394:P398)</f>
        <v>0</v>
      </c>
      <c r="Q393" s="204"/>
      <c r="R393" s="205"/>
      <c r="S393" s="203">
        <f>SUM(S394:S398)</f>
        <v>0</v>
      </c>
      <c r="T393" s="204"/>
      <c r="U393" s="205"/>
      <c r="V393" s="199">
        <f t="shared" si="9"/>
        <v>0</v>
      </c>
      <c r="W393" s="200"/>
      <c r="X393" s="200"/>
    </row>
    <row r="394" spans="1:24">
      <c r="A394" s="210" t="s">
        <v>379</v>
      </c>
      <c r="B394" s="210" t="s">
        <v>58</v>
      </c>
      <c r="C394" s="210" t="s">
        <v>58</v>
      </c>
      <c r="D394" s="206">
        <f>SUMIF('PB10'!$J$3:$J$201,"D6.10.1-Staff Costs",'PB10'!$I$3:$I$201)</f>
        <v>0</v>
      </c>
      <c r="E394" s="207"/>
      <c r="F394" s="208"/>
      <c r="G394" s="206">
        <f>SUMIF('PB10'!$J$3:$J$201,"D6.10.1-Office and Administration",'PB10'!$I$3:$I$201)</f>
        <v>0</v>
      </c>
      <c r="H394" s="207"/>
      <c r="I394" s="208"/>
      <c r="J394" s="206">
        <f>SUMIF('PB10'!$J$3:$J$201,"D6.10.1-Travel and Accommodation",'PB10'!$I$3:$I$201)</f>
        <v>0</v>
      </c>
      <c r="K394" s="207"/>
      <c r="L394" s="208"/>
      <c r="M394" s="206">
        <f>SUMIF('PB10'!$J$3:$J$201,"D6.10.1-External Expertise and Services",'PB10'!$I$3:$I$201)</f>
        <v>0</v>
      </c>
      <c r="N394" s="207"/>
      <c r="O394" s="208"/>
      <c r="P394" s="206">
        <f>SUMIF('PB10'!$J$3:$J$201,"D6.10.1-Equipment",'PB10'!$I$3:$I$201)</f>
        <v>0</v>
      </c>
      <c r="Q394" s="207"/>
      <c r="R394" s="208"/>
      <c r="S394" s="206">
        <f>SUMIF('PB10'!$J$3:$J$201,"D6.10.1-Infrastructure and Works",'PB10'!$I$3:$I$201)</f>
        <v>0</v>
      </c>
      <c r="T394" s="207"/>
      <c r="U394" s="208"/>
      <c r="V394" s="201">
        <f t="shared" si="9"/>
        <v>0</v>
      </c>
      <c r="W394" s="202"/>
      <c r="X394" s="202"/>
    </row>
    <row r="395" spans="1:24">
      <c r="A395" s="210" t="s">
        <v>385</v>
      </c>
      <c r="B395" s="210" t="s">
        <v>59</v>
      </c>
      <c r="C395" s="210" t="s">
        <v>59</v>
      </c>
      <c r="D395" s="206">
        <f>SUMIF('PB10'!$J$3:$J$201,"D6.10.2-Staff Costs",'PB10'!$I$3:$I$201)</f>
        <v>0</v>
      </c>
      <c r="E395" s="207"/>
      <c r="F395" s="208"/>
      <c r="G395" s="206">
        <f>SUMIF('PB10'!$J$3:$J$201,"D6.10.2-Office and Administration",'PB10'!$I$3:$I$201)</f>
        <v>0</v>
      </c>
      <c r="H395" s="207"/>
      <c r="I395" s="208"/>
      <c r="J395" s="206">
        <f>SUMIF('PB10'!$J$3:$J$201,"D6.10.2-Travel and Accommodation",'PB10'!$I$3:$I$201)</f>
        <v>0</v>
      </c>
      <c r="K395" s="207"/>
      <c r="L395" s="208"/>
      <c r="M395" s="206">
        <f>SUMIF('PB10'!$J$3:$J$201,"D6.10.2-External Expertise and Services",'PB10'!$I$3:$I$201)</f>
        <v>0</v>
      </c>
      <c r="N395" s="207"/>
      <c r="O395" s="208"/>
      <c r="P395" s="206">
        <f>SUMIF('PB10'!$J$3:$J$201,"D6.10.2-Equipment",'PB10'!$I$3:$I$201)</f>
        <v>0</v>
      </c>
      <c r="Q395" s="207"/>
      <c r="R395" s="208"/>
      <c r="S395" s="206">
        <f>SUMIF('PB10'!$J$3:$J$201,"D6.10.2-Infrastructure and Works",'PB10'!$I$3:$I$201)</f>
        <v>0</v>
      </c>
      <c r="T395" s="207"/>
      <c r="U395" s="208"/>
      <c r="V395" s="201">
        <f t="shared" si="9"/>
        <v>0</v>
      </c>
      <c r="W395" s="202"/>
      <c r="X395" s="202"/>
    </row>
    <row r="396" spans="1:24">
      <c r="A396" s="210" t="s">
        <v>391</v>
      </c>
      <c r="B396" s="210" t="s">
        <v>60</v>
      </c>
      <c r="C396" s="210" t="s">
        <v>60</v>
      </c>
      <c r="D396" s="206">
        <f>SUMIF('PB10'!$J$3:$J$201,"D6.10.3-Staff Costs",'PB10'!$I$3:$I$201)</f>
        <v>0</v>
      </c>
      <c r="E396" s="207"/>
      <c r="F396" s="208"/>
      <c r="G396" s="206">
        <f>SUMIF('PB10'!$J$3:$J$201,"D6.10.3-Office and Administration",'PB10'!$I$3:$I$201)</f>
        <v>0</v>
      </c>
      <c r="H396" s="207"/>
      <c r="I396" s="208"/>
      <c r="J396" s="206">
        <f>SUMIF('PB10'!$J$3:$J$201,"D6.10.3-Travel and Accommodation",'PB10'!$I$3:$I$201)</f>
        <v>0</v>
      </c>
      <c r="K396" s="207"/>
      <c r="L396" s="208"/>
      <c r="M396" s="206">
        <f>SUMIF('PB10'!$J$3:$J$201,"D6.10.3-External Expertise and Services",'PB10'!$I$3:$I$201)</f>
        <v>0</v>
      </c>
      <c r="N396" s="207"/>
      <c r="O396" s="208"/>
      <c r="P396" s="206">
        <f>SUMIF('PB10'!$J$3:$J$201,"D6.10.3-Equipment",'PB10'!$I$3:$I$201)</f>
        <v>0</v>
      </c>
      <c r="Q396" s="207"/>
      <c r="R396" s="208"/>
      <c r="S396" s="206">
        <f>SUMIF('PB10'!$J$3:$J$201,"D6.10.3-Infrastructure and Works",'PB10'!$I$3:$I$201)</f>
        <v>0</v>
      </c>
      <c r="T396" s="207"/>
      <c r="U396" s="208"/>
      <c r="V396" s="201">
        <f t="shared" si="9"/>
        <v>0</v>
      </c>
      <c r="W396" s="202"/>
      <c r="X396" s="202"/>
    </row>
    <row r="397" spans="1:24">
      <c r="A397" s="210" t="s">
        <v>397</v>
      </c>
      <c r="B397" s="210" t="s">
        <v>61</v>
      </c>
      <c r="C397" s="210" t="s">
        <v>61</v>
      </c>
      <c r="D397" s="206">
        <f>SUMIF('PB10'!$J$3:$J$201,"D6.10.4-Staff Costs",'PB10'!$I$3:$I$201)</f>
        <v>0</v>
      </c>
      <c r="E397" s="207"/>
      <c r="F397" s="208"/>
      <c r="G397" s="206">
        <f>SUMIF('PB10'!$J$3:$J$201,"D6.10.4-Office and Administration",'PB10'!$I$3:$I$201)</f>
        <v>0</v>
      </c>
      <c r="H397" s="207"/>
      <c r="I397" s="208"/>
      <c r="J397" s="206">
        <f>SUMIF('PB10'!$J$3:$J$201,"D6.10.4-Travel and Accommodation",'PB10'!$I$3:$I$201)</f>
        <v>0</v>
      </c>
      <c r="K397" s="207"/>
      <c r="L397" s="208"/>
      <c r="M397" s="206">
        <f>SUMIF('PB10'!$J$3:$J$201,"D6.10.4-External Expertise and Services",'PB10'!$I$3:$I$201)</f>
        <v>0</v>
      </c>
      <c r="N397" s="207"/>
      <c r="O397" s="208"/>
      <c r="P397" s="206">
        <f>SUMIF('PB10'!$J$3:$J$201,"D6.10.4-Equipment",'PB10'!$I$3:$I$201)</f>
        <v>0</v>
      </c>
      <c r="Q397" s="207"/>
      <c r="R397" s="208"/>
      <c r="S397" s="206">
        <f>SUMIF('PB10'!$J$3:$J$201,"D6.10.4-Infrastructure and Works",'PB10'!$I$3:$I$201)</f>
        <v>0</v>
      </c>
      <c r="T397" s="207"/>
      <c r="U397" s="208"/>
      <c r="V397" s="201">
        <f t="shared" si="9"/>
        <v>0</v>
      </c>
      <c r="W397" s="202"/>
      <c r="X397" s="202"/>
    </row>
    <row r="398" spans="1:24">
      <c r="A398" s="210" t="s">
        <v>403</v>
      </c>
      <c r="B398" s="210"/>
      <c r="C398" s="210"/>
      <c r="D398" s="206">
        <f>SUMIF('PB10'!$J$3:$J$201,"D6.10.5-Staff Costs",'PB10'!$I$3:$I$201)</f>
        <v>0</v>
      </c>
      <c r="E398" s="207"/>
      <c r="F398" s="208"/>
      <c r="G398" s="206">
        <f>SUMIF('PB10'!$J$3:$J$201,"D6.10.5-Office and Administration",'PB10'!$I$3:$I$201)</f>
        <v>0</v>
      </c>
      <c r="H398" s="207"/>
      <c r="I398" s="208"/>
      <c r="J398" s="206">
        <f>SUMIF('PB10'!$J$3:$J$201,"D6.10.5-Travel and Accommodation",'PB10'!$I$3:$I$201)</f>
        <v>0</v>
      </c>
      <c r="K398" s="207"/>
      <c r="L398" s="208"/>
      <c r="M398" s="206">
        <f>SUMIF('PB10'!$J$3:$J$201,"D6.10.5-External Expertise and Services",'PB10'!$I$3:$I$201)</f>
        <v>0</v>
      </c>
      <c r="N398" s="207"/>
      <c r="O398" s="208"/>
      <c r="P398" s="206">
        <f>SUMIF('PB10'!$J$3:$J$201,"D6.10.5-Equipment",'PB10'!$I$3:$I$201)</f>
        <v>0</v>
      </c>
      <c r="Q398" s="207"/>
      <c r="R398" s="208"/>
      <c r="S398" s="206">
        <f>SUMIF('PB10'!$J$3:$J$201,"D6.10.5-Infrastructure and Works",'PB10'!$I$3:$I$201)</f>
        <v>0</v>
      </c>
      <c r="T398" s="207"/>
      <c r="U398" s="208"/>
      <c r="V398" s="201">
        <f t="shared" si="9"/>
        <v>0</v>
      </c>
      <c r="W398" s="202"/>
      <c r="X398" s="202"/>
    </row>
    <row r="399" spans="1:24">
      <c r="A399" s="221" t="s">
        <v>423</v>
      </c>
      <c r="B399" s="221"/>
      <c r="C399" s="221"/>
      <c r="D399" s="224">
        <f>D393+D387+D381+D375+D369+D363</f>
        <v>0</v>
      </c>
      <c r="E399" s="225"/>
      <c r="F399" s="226"/>
      <c r="G399" s="224">
        <f>G393+G387+G381+G375+G369+G363</f>
        <v>0</v>
      </c>
      <c r="H399" s="225"/>
      <c r="I399" s="226"/>
      <c r="J399" s="224">
        <f>J393+J387+J381+J375+J369+J363</f>
        <v>0</v>
      </c>
      <c r="K399" s="225"/>
      <c r="L399" s="226"/>
      <c r="M399" s="224">
        <f>M393+M387+M381+M375+M369+M363</f>
        <v>0</v>
      </c>
      <c r="N399" s="225"/>
      <c r="O399" s="226"/>
      <c r="P399" s="224">
        <f>P393+P387+P381+P375+P369+P363</f>
        <v>0</v>
      </c>
      <c r="Q399" s="225"/>
      <c r="R399" s="226"/>
      <c r="S399" s="224">
        <f>S393+S387+S381+S375+S369+S363</f>
        <v>0</v>
      </c>
      <c r="T399" s="225"/>
      <c r="U399" s="226"/>
      <c r="V399" s="222">
        <f t="shared" si="9"/>
        <v>0</v>
      </c>
      <c r="W399" s="223"/>
      <c r="X399" s="201"/>
    </row>
  </sheetData>
  <sheetProtection password="C613" sheet="1" objects="1" scenarios="1"/>
  <mergeCells count="3050">
    <mergeCell ref="M396:O396"/>
    <mergeCell ref="P396:R396"/>
    <mergeCell ref="S396:U396"/>
    <mergeCell ref="J399:L399"/>
    <mergeCell ref="M399:O399"/>
    <mergeCell ref="P399:R399"/>
    <mergeCell ref="S399:U399"/>
    <mergeCell ref="J397:L397"/>
    <mergeCell ref="M397:O397"/>
    <mergeCell ref="P397:R397"/>
    <mergeCell ref="S397:U397"/>
    <mergeCell ref="J398:L398"/>
    <mergeCell ref="M398:O398"/>
    <mergeCell ref="J394:L394"/>
    <mergeCell ref="M394:O394"/>
    <mergeCell ref="P394:R394"/>
    <mergeCell ref="S394:U394"/>
    <mergeCell ref="P398:R398"/>
    <mergeCell ref="S398:U398"/>
    <mergeCell ref="M395:O395"/>
    <mergeCell ref="P395:R395"/>
    <mergeCell ref="S395:U395"/>
    <mergeCell ref="J396:L396"/>
    <mergeCell ref="J392:L392"/>
    <mergeCell ref="M392:O392"/>
    <mergeCell ref="P392:R392"/>
    <mergeCell ref="S392:U392"/>
    <mergeCell ref="J393:L393"/>
    <mergeCell ref="M393:O393"/>
    <mergeCell ref="P393:R393"/>
    <mergeCell ref="S393:U393"/>
    <mergeCell ref="J390:L390"/>
    <mergeCell ref="M390:O390"/>
    <mergeCell ref="P390:R390"/>
    <mergeCell ref="S390:U390"/>
    <mergeCell ref="J391:L391"/>
    <mergeCell ref="M391:O391"/>
    <mergeCell ref="P391:R391"/>
    <mergeCell ref="S391:U391"/>
    <mergeCell ref="J388:L388"/>
    <mergeCell ref="M388:O388"/>
    <mergeCell ref="P388:R388"/>
    <mergeCell ref="S388:U388"/>
    <mergeCell ref="M389:O389"/>
    <mergeCell ref="P389:R389"/>
    <mergeCell ref="S389:U389"/>
    <mergeCell ref="S379:U379"/>
    <mergeCell ref="J376:L376"/>
    <mergeCell ref="M376:O376"/>
    <mergeCell ref="P376:R376"/>
    <mergeCell ref="S376:U376"/>
    <mergeCell ref="J377:L377"/>
    <mergeCell ref="M377:O377"/>
    <mergeCell ref="P377:R377"/>
    <mergeCell ref="S377:U377"/>
    <mergeCell ref="J386:L386"/>
    <mergeCell ref="M386:O386"/>
    <mergeCell ref="P386:R386"/>
    <mergeCell ref="S386:U386"/>
    <mergeCell ref="J387:L387"/>
    <mergeCell ref="M387:O387"/>
    <mergeCell ref="P387:R387"/>
    <mergeCell ref="S387:U387"/>
    <mergeCell ref="J384:L384"/>
    <mergeCell ref="M384:O384"/>
    <mergeCell ref="P384:R384"/>
    <mergeCell ref="S384:U384"/>
    <mergeCell ref="J385:L385"/>
    <mergeCell ref="M385:O385"/>
    <mergeCell ref="P385:R385"/>
    <mergeCell ref="S385:U385"/>
    <mergeCell ref="J382:L382"/>
    <mergeCell ref="M382:O382"/>
    <mergeCell ref="P382:R382"/>
    <mergeCell ref="S382:U382"/>
    <mergeCell ref="J383:L383"/>
    <mergeCell ref="M383:O383"/>
    <mergeCell ref="P383:R383"/>
    <mergeCell ref="S365:U365"/>
    <mergeCell ref="J367:L367"/>
    <mergeCell ref="M367:O367"/>
    <mergeCell ref="P367:R367"/>
    <mergeCell ref="S367:U367"/>
    <mergeCell ref="J363:L363"/>
    <mergeCell ref="M363:O363"/>
    <mergeCell ref="P363:R363"/>
    <mergeCell ref="S363:U363"/>
    <mergeCell ref="J364:L364"/>
    <mergeCell ref="M364:O364"/>
    <mergeCell ref="P364:R364"/>
    <mergeCell ref="S364:U364"/>
    <mergeCell ref="J374:L374"/>
    <mergeCell ref="M374:O374"/>
    <mergeCell ref="P374:R374"/>
    <mergeCell ref="S374:U374"/>
    <mergeCell ref="J372:L372"/>
    <mergeCell ref="M372:O372"/>
    <mergeCell ref="P372:R372"/>
    <mergeCell ref="S372:U372"/>
    <mergeCell ref="J373:L373"/>
    <mergeCell ref="M373:O373"/>
    <mergeCell ref="P373:R373"/>
    <mergeCell ref="S373:U373"/>
    <mergeCell ref="J370:L370"/>
    <mergeCell ref="M370:O370"/>
    <mergeCell ref="P370:R370"/>
    <mergeCell ref="S370:U370"/>
    <mergeCell ref="J371:L371"/>
    <mergeCell ref="M371:O371"/>
    <mergeCell ref="P371:R371"/>
    <mergeCell ref="S353:U353"/>
    <mergeCell ref="M350:O350"/>
    <mergeCell ref="P350:R350"/>
    <mergeCell ref="S350:U350"/>
    <mergeCell ref="J351:L351"/>
    <mergeCell ref="M351:O351"/>
    <mergeCell ref="P351:R351"/>
    <mergeCell ref="S351:U351"/>
    <mergeCell ref="J348:L348"/>
    <mergeCell ref="M348:O348"/>
    <mergeCell ref="P348:R348"/>
    <mergeCell ref="S348:U348"/>
    <mergeCell ref="J349:L349"/>
    <mergeCell ref="M349:O349"/>
    <mergeCell ref="P349:R349"/>
    <mergeCell ref="S349:U349"/>
    <mergeCell ref="J359:L359"/>
    <mergeCell ref="M359:O359"/>
    <mergeCell ref="P359:R359"/>
    <mergeCell ref="S359:U359"/>
    <mergeCell ref="M356:O356"/>
    <mergeCell ref="P356:R356"/>
    <mergeCell ref="S356:U356"/>
    <mergeCell ref="J357:L357"/>
    <mergeCell ref="M357:O357"/>
    <mergeCell ref="P357:R357"/>
    <mergeCell ref="S357:U357"/>
    <mergeCell ref="J354:L354"/>
    <mergeCell ref="M354:O354"/>
    <mergeCell ref="P354:R354"/>
    <mergeCell ref="S354:U354"/>
    <mergeCell ref="J355:L355"/>
    <mergeCell ref="J338:L338"/>
    <mergeCell ref="M338:O338"/>
    <mergeCell ref="P338:R338"/>
    <mergeCell ref="S338:U338"/>
    <mergeCell ref="J339:L339"/>
    <mergeCell ref="M339:O339"/>
    <mergeCell ref="P339:R339"/>
    <mergeCell ref="S339:U339"/>
    <mergeCell ref="J336:L336"/>
    <mergeCell ref="M336:O336"/>
    <mergeCell ref="P336:R336"/>
    <mergeCell ref="S336:U336"/>
    <mergeCell ref="J337:L337"/>
    <mergeCell ref="M337:O337"/>
    <mergeCell ref="P337:R337"/>
    <mergeCell ref="S337:U337"/>
    <mergeCell ref="J346:L346"/>
    <mergeCell ref="M346:O346"/>
    <mergeCell ref="P346:R346"/>
    <mergeCell ref="S346:U346"/>
    <mergeCell ref="J344:L344"/>
    <mergeCell ref="M344:O344"/>
    <mergeCell ref="P344:R344"/>
    <mergeCell ref="S344:U344"/>
    <mergeCell ref="J345:L345"/>
    <mergeCell ref="M345:O345"/>
    <mergeCell ref="P345:R345"/>
    <mergeCell ref="S345:U345"/>
    <mergeCell ref="J342:L342"/>
    <mergeCell ref="M342:O342"/>
    <mergeCell ref="P342:R342"/>
    <mergeCell ref="S342:U342"/>
    <mergeCell ref="J326:L326"/>
    <mergeCell ref="M326:O326"/>
    <mergeCell ref="P326:R326"/>
    <mergeCell ref="S326:U326"/>
    <mergeCell ref="J327:L327"/>
    <mergeCell ref="M327:O327"/>
    <mergeCell ref="P327:R327"/>
    <mergeCell ref="S327:U327"/>
    <mergeCell ref="P323:R323"/>
    <mergeCell ref="S323:U323"/>
    <mergeCell ref="J324:L324"/>
    <mergeCell ref="M324:O324"/>
    <mergeCell ref="P324:R324"/>
    <mergeCell ref="S324:U324"/>
    <mergeCell ref="M334:O334"/>
    <mergeCell ref="P334:R334"/>
    <mergeCell ref="S334:U334"/>
    <mergeCell ref="J332:L332"/>
    <mergeCell ref="M332:O332"/>
    <mergeCell ref="P332:R332"/>
    <mergeCell ref="S332:U332"/>
    <mergeCell ref="J333:L333"/>
    <mergeCell ref="M333:O333"/>
    <mergeCell ref="P333:R333"/>
    <mergeCell ref="S333:U333"/>
    <mergeCell ref="J330:L330"/>
    <mergeCell ref="M330:O330"/>
    <mergeCell ref="P330:R330"/>
    <mergeCell ref="S330:U330"/>
    <mergeCell ref="J331:L331"/>
    <mergeCell ref="M331:O331"/>
    <mergeCell ref="P331:R331"/>
    <mergeCell ref="J311:L311"/>
    <mergeCell ref="M311:O311"/>
    <mergeCell ref="P311:R311"/>
    <mergeCell ref="S311:U311"/>
    <mergeCell ref="S318:U318"/>
    <mergeCell ref="J319:L319"/>
    <mergeCell ref="M319:O319"/>
    <mergeCell ref="P319:R319"/>
    <mergeCell ref="S319:U319"/>
    <mergeCell ref="J321:L322"/>
    <mergeCell ref="M321:O322"/>
    <mergeCell ref="P321:R322"/>
    <mergeCell ref="S321:U322"/>
    <mergeCell ref="J316:L316"/>
    <mergeCell ref="M316:O316"/>
    <mergeCell ref="P316:R316"/>
    <mergeCell ref="S316:U316"/>
    <mergeCell ref="J317:L317"/>
    <mergeCell ref="M317:O317"/>
    <mergeCell ref="P317:R317"/>
    <mergeCell ref="S317:U317"/>
    <mergeCell ref="J306:L306"/>
    <mergeCell ref="M306:O306"/>
    <mergeCell ref="P306:R306"/>
    <mergeCell ref="S306:U306"/>
    <mergeCell ref="J307:L307"/>
    <mergeCell ref="M307:O307"/>
    <mergeCell ref="P307:R307"/>
    <mergeCell ref="S307:U307"/>
    <mergeCell ref="J304:L304"/>
    <mergeCell ref="M304:O304"/>
    <mergeCell ref="P304:R304"/>
    <mergeCell ref="S304:U304"/>
    <mergeCell ref="J305:L305"/>
    <mergeCell ref="M305:O305"/>
    <mergeCell ref="P305:R305"/>
    <mergeCell ref="S305:U305"/>
    <mergeCell ref="J314:L314"/>
    <mergeCell ref="M314:O314"/>
    <mergeCell ref="P314:R314"/>
    <mergeCell ref="S314:U314"/>
    <mergeCell ref="J312:L312"/>
    <mergeCell ref="M312:O312"/>
    <mergeCell ref="P312:R312"/>
    <mergeCell ref="S312:U312"/>
    <mergeCell ref="J313:L313"/>
    <mergeCell ref="M313:O313"/>
    <mergeCell ref="P313:R313"/>
    <mergeCell ref="S313:U313"/>
    <mergeCell ref="J310:L310"/>
    <mergeCell ref="M310:O310"/>
    <mergeCell ref="P310:R310"/>
    <mergeCell ref="S310:U310"/>
    <mergeCell ref="M293:O293"/>
    <mergeCell ref="P293:R293"/>
    <mergeCell ref="S293:U293"/>
    <mergeCell ref="J302:L302"/>
    <mergeCell ref="M302:O302"/>
    <mergeCell ref="P302:R302"/>
    <mergeCell ref="S302:U302"/>
    <mergeCell ref="J303:L303"/>
    <mergeCell ref="M303:O303"/>
    <mergeCell ref="P303:R303"/>
    <mergeCell ref="S303:U303"/>
    <mergeCell ref="J300:L300"/>
    <mergeCell ref="M300:O300"/>
    <mergeCell ref="P300:R300"/>
    <mergeCell ref="S300:U300"/>
    <mergeCell ref="M301:O301"/>
    <mergeCell ref="P301:R301"/>
    <mergeCell ref="S301:U301"/>
    <mergeCell ref="J298:L298"/>
    <mergeCell ref="M298:O298"/>
    <mergeCell ref="P298:R298"/>
    <mergeCell ref="S298:U298"/>
    <mergeCell ref="J299:L299"/>
    <mergeCell ref="M299:O299"/>
    <mergeCell ref="P299:R299"/>
    <mergeCell ref="S299:U299"/>
    <mergeCell ref="S291:U291"/>
    <mergeCell ref="J288:L288"/>
    <mergeCell ref="M288:O288"/>
    <mergeCell ref="P288:R288"/>
    <mergeCell ref="S288:U288"/>
    <mergeCell ref="M289:O289"/>
    <mergeCell ref="P289:R289"/>
    <mergeCell ref="S289:U289"/>
    <mergeCell ref="J285:L285"/>
    <mergeCell ref="M285:O285"/>
    <mergeCell ref="P285:R285"/>
    <mergeCell ref="S285:U285"/>
    <mergeCell ref="J287:L287"/>
    <mergeCell ref="M287:O287"/>
    <mergeCell ref="P287:R287"/>
    <mergeCell ref="S287:U287"/>
    <mergeCell ref="J296:L296"/>
    <mergeCell ref="M296:O296"/>
    <mergeCell ref="P296:R296"/>
    <mergeCell ref="S296:U296"/>
    <mergeCell ref="J294:L294"/>
    <mergeCell ref="M294:O294"/>
    <mergeCell ref="P294:R294"/>
    <mergeCell ref="S294:U294"/>
    <mergeCell ref="M295:O295"/>
    <mergeCell ref="P295:R295"/>
    <mergeCell ref="S295:U295"/>
    <mergeCell ref="J292:L292"/>
    <mergeCell ref="M292:O292"/>
    <mergeCell ref="P292:R292"/>
    <mergeCell ref="S292:U292"/>
    <mergeCell ref="J293:L293"/>
    <mergeCell ref="M284:O284"/>
    <mergeCell ref="P284:R284"/>
    <mergeCell ref="S284:U284"/>
    <mergeCell ref="S278:U278"/>
    <mergeCell ref="J279:L279"/>
    <mergeCell ref="M279:O279"/>
    <mergeCell ref="P279:R279"/>
    <mergeCell ref="S279:U279"/>
    <mergeCell ref="J281:L282"/>
    <mergeCell ref="M281:O282"/>
    <mergeCell ref="P281:R282"/>
    <mergeCell ref="S281:U282"/>
    <mergeCell ref="M276:O276"/>
    <mergeCell ref="P276:R276"/>
    <mergeCell ref="S276:U276"/>
    <mergeCell ref="J277:L277"/>
    <mergeCell ref="M277:O277"/>
    <mergeCell ref="P277:R277"/>
    <mergeCell ref="S277:U277"/>
    <mergeCell ref="J267:L267"/>
    <mergeCell ref="M267:O267"/>
    <mergeCell ref="P267:R267"/>
    <mergeCell ref="S267:U267"/>
    <mergeCell ref="J264:L264"/>
    <mergeCell ref="M264:O264"/>
    <mergeCell ref="P264:R264"/>
    <mergeCell ref="S264:U264"/>
    <mergeCell ref="J265:L265"/>
    <mergeCell ref="M265:O265"/>
    <mergeCell ref="P265:R265"/>
    <mergeCell ref="S265:U265"/>
    <mergeCell ref="J274:L274"/>
    <mergeCell ref="M274:O274"/>
    <mergeCell ref="P274:R274"/>
    <mergeCell ref="S274:U274"/>
    <mergeCell ref="J275:L275"/>
    <mergeCell ref="M275:O275"/>
    <mergeCell ref="P275:R275"/>
    <mergeCell ref="S275:U275"/>
    <mergeCell ref="J272:L272"/>
    <mergeCell ref="M272:O272"/>
    <mergeCell ref="P272:R272"/>
    <mergeCell ref="S272:U272"/>
    <mergeCell ref="J273:L273"/>
    <mergeCell ref="M273:O273"/>
    <mergeCell ref="P273:R273"/>
    <mergeCell ref="S273:U273"/>
    <mergeCell ref="M270:O270"/>
    <mergeCell ref="P270:R270"/>
    <mergeCell ref="S270:U270"/>
    <mergeCell ref="J271:L271"/>
    <mergeCell ref="J255:L255"/>
    <mergeCell ref="M255:O255"/>
    <mergeCell ref="P255:R255"/>
    <mergeCell ref="S255:U255"/>
    <mergeCell ref="J252:L252"/>
    <mergeCell ref="M252:O252"/>
    <mergeCell ref="P252:R252"/>
    <mergeCell ref="S252:U252"/>
    <mergeCell ref="J253:L253"/>
    <mergeCell ref="M253:O253"/>
    <mergeCell ref="P253:R253"/>
    <mergeCell ref="S253:U253"/>
    <mergeCell ref="J262:L262"/>
    <mergeCell ref="M262:O262"/>
    <mergeCell ref="P262:R262"/>
    <mergeCell ref="S262:U262"/>
    <mergeCell ref="J263:L263"/>
    <mergeCell ref="M263:O263"/>
    <mergeCell ref="P263:R263"/>
    <mergeCell ref="S263:U263"/>
    <mergeCell ref="M260:O260"/>
    <mergeCell ref="P260:R260"/>
    <mergeCell ref="S260:U260"/>
    <mergeCell ref="J261:L261"/>
    <mergeCell ref="M261:O261"/>
    <mergeCell ref="P261:R261"/>
    <mergeCell ref="S261:U261"/>
    <mergeCell ref="J258:L258"/>
    <mergeCell ref="M258:O258"/>
    <mergeCell ref="P258:R258"/>
    <mergeCell ref="S258:U258"/>
    <mergeCell ref="J259:L259"/>
    <mergeCell ref="S250:U250"/>
    <mergeCell ref="J251:L251"/>
    <mergeCell ref="M251:O251"/>
    <mergeCell ref="P251:R251"/>
    <mergeCell ref="S251:U251"/>
    <mergeCell ref="M248:O248"/>
    <mergeCell ref="P248:R248"/>
    <mergeCell ref="S248:U248"/>
    <mergeCell ref="J249:L249"/>
    <mergeCell ref="M249:O249"/>
    <mergeCell ref="P249:R249"/>
    <mergeCell ref="S249:U249"/>
    <mergeCell ref="J246:L246"/>
    <mergeCell ref="M246:O246"/>
    <mergeCell ref="P246:R246"/>
    <mergeCell ref="S246:U246"/>
    <mergeCell ref="J247:L247"/>
    <mergeCell ref="M247:O247"/>
    <mergeCell ref="P247:R247"/>
    <mergeCell ref="S247:U247"/>
    <mergeCell ref="J231:L231"/>
    <mergeCell ref="M231:O231"/>
    <mergeCell ref="P231:R231"/>
    <mergeCell ref="S231:U231"/>
    <mergeCell ref="P243:R243"/>
    <mergeCell ref="S243:U243"/>
    <mergeCell ref="J244:L244"/>
    <mergeCell ref="M244:O244"/>
    <mergeCell ref="P244:R244"/>
    <mergeCell ref="S244:U244"/>
    <mergeCell ref="S238:U238"/>
    <mergeCell ref="J239:L239"/>
    <mergeCell ref="M239:O239"/>
    <mergeCell ref="P239:R239"/>
    <mergeCell ref="S239:U239"/>
    <mergeCell ref="J241:L242"/>
    <mergeCell ref="M241:O242"/>
    <mergeCell ref="P241:R242"/>
    <mergeCell ref="S241:U242"/>
    <mergeCell ref="J236:L236"/>
    <mergeCell ref="M236:O236"/>
    <mergeCell ref="P236:R236"/>
    <mergeCell ref="S236:U236"/>
    <mergeCell ref="J237:L237"/>
    <mergeCell ref="M237:O237"/>
    <mergeCell ref="P237:R237"/>
    <mergeCell ref="S237:U237"/>
    <mergeCell ref="J226:L226"/>
    <mergeCell ref="M226:O226"/>
    <mergeCell ref="P226:R226"/>
    <mergeCell ref="S226:U226"/>
    <mergeCell ref="J227:L227"/>
    <mergeCell ref="M227:O227"/>
    <mergeCell ref="P227:R227"/>
    <mergeCell ref="S227:U227"/>
    <mergeCell ref="J224:L224"/>
    <mergeCell ref="M224:O224"/>
    <mergeCell ref="P224:R224"/>
    <mergeCell ref="S224:U224"/>
    <mergeCell ref="J225:L225"/>
    <mergeCell ref="M225:O225"/>
    <mergeCell ref="P225:R225"/>
    <mergeCell ref="S225:U225"/>
    <mergeCell ref="J234:L234"/>
    <mergeCell ref="M234:O234"/>
    <mergeCell ref="P234:R234"/>
    <mergeCell ref="S234:U234"/>
    <mergeCell ref="J232:L232"/>
    <mergeCell ref="M232:O232"/>
    <mergeCell ref="P232:R232"/>
    <mergeCell ref="S232:U232"/>
    <mergeCell ref="J233:L233"/>
    <mergeCell ref="M233:O233"/>
    <mergeCell ref="P233:R233"/>
    <mergeCell ref="S233:U233"/>
    <mergeCell ref="J230:L230"/>
    <mergeCell ref="M230:O230"/>
    <mergeCell ref="P230:R230"/>
    <mergeCell ref="S230:U230"/>
    <mergeCell ref="M213:O213"/>
    <mergeCell ref="P213:R213"/>
    <mergeCell ref="S213:U213"/>
    <mergeCell ref="J222:L222"/>
    <mergeCell ref="M222:O222"/>
    <mergeCell ref="P222:R222"/>
    <mergeCell ref="S222:U222"/>
    <mergeCell ref="J223:L223"/>
    <mergeCell ref="M223:O223"/>
    <mergeCell ref="P223:R223"/>
    <mergeCell ref="S223:U223"/>
    <mergeCell ref="J220:L220"/>
    <mergeCell ref="M220:O220"/>
    <mergeCell ref="P220:R220"/>
    <mergeCell ref="S220:U220"/>
    <mergeCell ref="M221:O221"/>
    <mergeCell ref="P221:R221"/>
    <mergeCell ref="S221:U221"/>
    <mergeCell ref="J218:L218"/>
    <mergeCell ref="M218:O218"/>
    <mergeCell ref="P218:R218"/>
    <mergeCell ref="S218:U218"/>
    <mergeCell ref="J219:L219"/>
    <mergeCell ref="M219:O219"/>
    <mergeCell ref="P219:R219"/>
    <mergeCell ref="S219:U219"/>
    <mergeCell ref="S211:U211"/>
    <mergeCell ref="J208:L208"/>
    <mergeCell ref="M208:O208"/>
    <mergeCell ref="P208:R208"/>
    <mergeCell ref="S208:U208"/>
    <mergeCell ref="M209:O209"/>
    <mergeCell ref="P209:R209"/>
    <mergeCell ref="S209:U209"/>
    <mergeCell ref="J205:L205"/>
    <mergeCell ref="M205:O205"/>
    <mergeCell ref="P205:R205"/>
    <mergeCell ref="S205:U205"/>
    <mergeCell ref="J207:L207"/>
    <mergeCell ref="M207:O207"/>
    <mergeCell ref="P207:R207"/>
    <mergeCell ref="S207:U207"/>
    <mergeCell ref="J216:L216"/>
    <mergeCell ref="M216:O216"/>
    <mergeCell ref="P216:R216"/>
    <mergeCell ref="S216:U216"/>
    <mergeCell ref="J214:L214"/>
    <mergeCell ref="M214:O214"/>
    <mergeCell ref="P214:R214"/>
    <mergeCell ref="S214:U214"/>
    <mergeCell ref="M215:O215"/>
    <mergeCell ref="P215:R215"/>
    <mergeCell ref="S215:U215"/>
    <mergeCell ref="J212:L212"/>
    <mergeCell ref="M212:O212"/>
    <mergeCell ref="P212:R212"/>
    <mergeCell ref="S212:U212"/>
    <mergeCell ref="J213:L213"/>
    <mergeCell ref="S194:U194"/>
    <mergeCell ref="J191:L191"/>
    <mergeCell ref="M191:O191"/>
    <mergeCell ref="P191:R191"/>
    <mergeCell ref="S191:U191"/>
    <mergeCell ref="J192:L192"/>
    <mergeCell ref="M192:O192"/>
    <mergeCell ref="P192:R192"/>
    <mergeCell ref="S192:U192"/>
    <mergeCell ref="J203:L203"/>
    <mergeCell ref="M203:O203"/>
    <mergeCell ref="P203:R203"/>
    <mergeCell ref="S203:U203"/>
    <mergeCell ref="J204:L204"/>
    <mergeCell ref="M204:O204"/>
    <mergeCell ref="P204:R204"/>
    <mergeCell ref="S204:U204"/>
    <mergeCell ref="M199:O199"/>
    <mergeCell ref="P199:R199"/>
    <mergeCell ref="S199:U199"/>
    <mergeCell ref="J201:L202"/>
    <mergeCell ref="M201:O202"/>
    <mergeCell ref="P201:R202"/>
    <mergeCell ref="S201:U202"/>
    <mergeCell ref="J197:L197"/>
    <mergeCell ref="M197:O197"/>
    <mergeCell ref="P197:R197"/>
    <mergeCell ref="S197:U197"/>
    <mergeCell ref="J198:L198"/>
    <mergeCell ref="M198:O198"/>
    <mergeCell ref="P198:R198"/>
    <mergeCell ref="S198:U198"/>
    <mergeCell ref="S182:U182"/>
    <mergeCell ref="J179:L179"/>
    <mergeCell ref="M179:O179"/>
    <mergeCell ref="P179:R179"/>
    <mergeCell ref="S179:U179"/>
    <mergeCell ref="M180:O180"/>
    <mergeCell ref="P180:R180"/>
    <mergeCell ref="S180:U180"/>
    <mergeCell ref="J189:L189"/>
    <mergeCell ref="M189:O189"/>
    <mergeCell ref="P189:R189"/>
    <mergeCell ref="S189:U189"/>
    <mergeCell ref="M190:O190"/>
    <mergeCell ref="P190:R190"/>
    <mergeCell ref="S190:U190"/>
    <mergeCell ref="J187:L187"/>
    <mergeCell ref="M187:O187"/>
    <mergeCell ref="P187:R187"/>
    <mergeCell ref="S187:U187"/>
    <mergeCell ref="J188:L188"/>
    <mergeCell ref="M188:O188"/>
    <mergeCell ref="P188:R188"/>
    <mergeCell ref="S188:U188"/>
    <mergeCell ref="J185:L185"/>
    <mergeCell ref="M185:O185"/>
    <mergeCell ref="P185:R185"/>
    <mergeCell ref="S185:U185"/>
    <mergeCell ref="J186:L186"/>
    <mergeCell ref="M186:O186"/>
    <mergeCell ref="P186:R186"/>
    <mergeCell ref="S186:U186"/>
    <mergeCell ref="S168:U168"/>
    <mergeCell ref="J177:L177"/>
    <mergeCell ref="M177:O177"/>
    <mergeCell ref="P177:R177"/>
    <mergeCell ref="S177:U177"/>
    <mergeCell ref="J178:L178"/>
    <mergeCell ref="M178:O178"/>
    <mergeCell ref="P178:R178"/>
    <mergeCell ref="S178:U178"/>
    <mergeCell ref="J175:L175"/>
    <mergeCell ref="M175:O175"/>
    <mergeCell ref="P175:R175"/>
    <mergeCell ref="S175:U175"/>
    <mergeCell ref="J176:L176"/>
    <mergeCell ref="M176:O176"/>
    <mergeCell ref="P176:R176"/>
    <mergeCell ref="S176:U176"/>
    <mergeCell ref="J173:L173"/>
    <mergeCell ref="M173:O173"/>
    <mergeCell ref="P173:R173"/>
    <mergeCell ref="S173:U173"/>
    <mergeCell ref="M174:O174"/>
    <mergeCell ref="P174:R174"/>
    <mergeCell ref="S174:U174"/>
    <mergeCell ref="M163:O163"/>
    <mergeCell ref="P163:R163"/>
    <mergeCell ref="S163:U163"/>
    <mergeCell ref="J157:L157"/>
    <mergeCell ref="M157:O157"/>
    <mergeCell ref="P157:R157"/>
    <mergeCell ref="S157:U157"/>
    <mergeCell ref="J158:L158"/>
    <mergeCell ref="M158:O158"/>
    <mergeCell ref="P158:R158"/>
    <mergeCell ref="S158:U158"/>
    <mergeCell ref="J171:L171"/>
    <mergeCell ref="M171:O171"/>
    <mergeCell ref="P171:R171"/>
    <mergeCell ref="S171:U171"/>
    <mergeCell ref="J172:L172"/>
    <mergeCell ref="M172:O172"/>
    <mergeCell ref="P172:R172"/>
    <mergeCell ref="S172:U172"/>
    <mergeCell ref="J169:L169"/>
    <mergeCell ref="M169:O169"/>
    <mergeCell ref="P169:R169"/>
    <mergeCell ref="S169:U169"/>
    <mergeCell ref="J170:L170"/>
    <mergeCell ref="M170:O170"/>
    <mergeCell ref="P170:R170"/>
    <mergeCell ref="S170:U170"/>
    <mergeCell ref="J167:L167"/>
    <mergeCell ref="M167:O167"/>
    <mergeCell ref="P167:R167"/>
    <mergeCell ref="S167:U167"/>
    <mergeCell ref="J168:L168"/>
    <mergeCell ref="S150:U150"/>
    <mergeCell ref="M147:O147"/>
    <mergeCell ref="P147:R147"/>
    <mergeCell ref="S147:U147"/>
    <mergeCell ref="J148:L148"/>
    <mergeCell ref="M148:O148"/>
    <mergeCell ref="P148:R148"/>
    <mergeCell ref="S148:U148"/>
    <mergeCell ref="J145:L145"/>
    <mergeCell ref="M145:O145"/>
    <mergeCell ref="P145:R145"/>
    <mergeCell ref="S145:U145"/>
    <mergeCell ref="J146:L146"/>
    <mergeCell ref="M146:O146"/>
    <mergeCell ref="P146:R146"/>
    <mergeCell ref="S146:U146"/>
    <mergeCell ref="M155:O155"/>
    <mergeCell ref="P155:R155"/>
    <mergeCell ref="S155:U155"/>
    <mergeCell ref="J153:L153"/>
    <mergeCell ref="M153:O153"/>
    <mergeCell ref="P153:R153"/>
    <mergeCell ref="S153:U153"/>
    <mergeCell ref="J154:L154"/>
    <mergeCell ref="M154:O154"/>
    <mergeCell ref="P154:R154"/>
    <mergeCell ref="S154:U154"/>
    <mergeCell ref="J151:L151"/>
    <mergeCell ref="M151:O151"/>
    <mergeCell ref="P151:R151"/>
    <mergeCell ref="S151:U151"/>
    <mergeCell ref="J152:L152"/>
    <mergeCell ref="J136:L136"/>
    <mergeCell ref="M136:O136"/>
    <mergeCell ref="P136:R136"/>
    <mergeCell ref="S136:U136"/>
    <mergeCell ref="J133:L133"/>
    <mergeCell ref="M133:O133"/>
    <mergeCell ref="P133:R133"/>
    <mergeCell ref="S133:U133"/>
    <mergeCell ref="J134:L134"/>
    <mergeCell ref="M134:O134"/>
    <mergeCell ref="P134:R134"/>
    <mergeCell ref="S134:U134"/>
    <mergeCell ref="J143:L143"/>
    <mergeCell ref="M143:O143"/>
    <mergeCell ref="P143:R143"/>
    <mergeCell ref="S143:U143"/>
    <mergeCell ref="J144:L144"/>
    <mergeCell ref="M144:O144"/>
    <mergeCell ref="P144:R144"/>
    <mergeCell ref="S144:U144"/>
    <mergeCell ref="M141:O141"/>
    <mergeCell ref="P141:R141"/>
    <mergeCell ref="S141:U141"/>
    <mergeCell ref="J142:L142"/>
    <mergeCell ref="M142:O142"/>
    <mergeCell ref="P142:R142"/>
    <mergeCell ref="S142:U142"/>
    <mergeCell ref="J139:L139"/>
    <mergeCell ref="M139:O139"/>
    <mergeCell ref="P139:R139"/>
    <mergeCell ref="S139:U139"/>
    <mergeCell ref="J140:L140"/>
    <mergeCell ref="P131:R131"/>
    <mergeCell ref="S131:U131"/>
    <mergeCell ref="J132:L132"/>
    <mergeCell ref="M132:O132"/>
    <mergeCell ref="P132:R132"/>
    <mergeCell ref="S132:U132"/>
    <mergeCell ref="J129:L129"/>
    <mergeCell ref="M129:O129"/>
    <mergeCell ref="P129:R129"/>
    <mergeCell ref="S129:U129"/>
    <mergeCell ref="J130:L130"/>
    <mergeCell ref="M130:O130"/>
    <mergeCell ref="P130:R130"/>
    <mergeCell ref="S130:U130"/>
    <mergeCell ref="J127:L127"/>
    <mergeCell ref="M127:O127"/>
    <mergeCell ref="P127:R127"/>
    <mergeCell ref="S127:U127"/>
    <mergeCell ref="J128:L128"/>
    <mergeCell ref="M128:O128"/>
    <mergeCell ref="P128:R128"/>
    <mergeCell ref="S128:U128"/>
    <mergeCell ref="J125:L125"/>
    <mergeCell ref="M125:O125"/>
    <mergeCell ref="P125:R125"/>
    <mergeCell ref="S125:U125"/>
    <mergeCell ref="J126:L126"/>
    <mergeCell ref="M126:O126"/>
    <mergeCell ref="P126:R126"/>
    <mergeCell ref="S126:U126"/>
    <mergeCell ref="J123:L123"/>
    <mergeCell ref="M123:O123"/>
    <mergeCell ref="P123:R123"/>
    <mergeCell ref="S123:U123"/>
    <mergeCell ref="J124:L124"/>
    <mergeCell ref="M124:O124"/>
    <mergeCell ref="P124:R124"/>
    <mergeCell ref="S124:U124"/>
    <mergeCell ref="J119:L119"/>
    <mergeCell ref="M119:O119"/>
    <mergeCell ref="P119:R119"/>
    <mergeCell ref="S119:U119"/>
    <mergeCell ref="J121:L122"/>
    <mergeCell ref="M121:O122"/>
    <mergeCell ref="P121:R122"/>
    <mergeCell ref="S121:U122"/>
    <mergeCell ref="J117:L117"/>
    <mergeCell ref="M117:O117"/>
    <mergeCell ref="P117:R117"/>
    <mergeCell ref="S117:U117"/>
    <mergeCell ref="J118:L118"/>
    <mergeCell ref="M118:O118"/>
    <mergeCell ref="P118:R118"/>
    <mergeCell ref="S118:U118"/>
    <mergeCell ref="J114:L114"/>
    <mergeCell ref="M114:O114"/>
    <mergeCell ref="P114:R114"/>
    <mergeCell ref="S114:U114"/>
    <mergeCell ref="J115:L115"/>
    <mergeCell ref="M115:O115"/>
    <mergeCell ref="P115:R115"/>
    <mergeCell ref="S115:U115"/>
    <mergeCell ref="J112:L112"/>
    <mergeCell ref="M112:O112"/>
    <mergeCell ref="P112:R112"/>
    <mergeCell ref="S112:U112"/>
    <mergeCell ref="J113:L113"/>
    <mergeCell ref="M113:O113"/>
    <mergeCell ref="P113:R113"/>
    <mergeCell ref="S113:U113"/>
    <mergeCell ref="J110:L110"/>
    <mergeCell ref="M110:O110"/>
    <mergeCell ref="P110:R110"/>
    <mergeCell ref="S110:U110"/>
    <mergeCell ref="J111:L111"/>
    <mergeCell ref="M111:O111"/>
    <mergeCell ref="P111:R111"/>
    <mergeCell ref="S111:U111"/>
    <mergeCell ref="J108:L108"/>
    <mergeCell ref="M108:O108"/>
    <mergeCell ref="P108:R108"/>
    <mergeCell ref="S108:U108"/>
    <mergeCell ref="J109:L109"/>
    <mergeCell ref="M109:O109"/>
    <mergeCell ref="P109:R109"/>
    <mergeCell ref="S109:U109"/>
    <mergeCell ref="J106:L106"/>
    <mergeCell ref="M106:O106"/>
    <mergeCell ref="P106:R106"/>
    <mergeCell ref="S106:U106"/>
    <mergeCell ref="J107:L107"/>
    <mergeCell ref="M107:O107"/>
    <mergeCell ref="P107:R107"/>
    <mergeCell ref="S107:U107"/>
    <mergeCell ref="J104:L104"/>
    <mergeCell ref="M104:O104"/>
    <mergeCell ref="P104:R104"/>
    <mergeCell ref="S104:U104"/>
    <mergeCell ref="J105:L105"/>
    <mergeCell ref="M105:O105"/>
    <mergeCell ref="P105:R105"/>
    <mergeCell ref="S105:U105"/>
    <mergeCell ref="J102:L102"/>
    <mergeCell ref="M102:O102"/>
    <mergeCell ref="P102:R102"/>
    <mergeCell ref="S102:U102"/>
    <mergeCell ref="J103:L103"/>
    <mergeCell ref="M103:O103"/>
    <mergeCell ref="P103:R103"/>
    <mergeCell ref="S103:U103"/>
    <mergeCell ref="J100:L100"/>
    <mergeCell ref="M100:O100"/>
    <mergeCell ref="P100:R100"/>
    <mergeCell ref="S100:U100"/>
    <mergeCell ref="J101:L101"/>
    <mergeCell ref="M101:O101"/>
    <mergeCell ref="P101:R101"/>
    <mergeCell ref="S101:U101"/>
    <mergeCell ref="J98:L98"/>
    <mergeCell ref="M98:O98"/>
    <mergeCell ref="P98:R98"/>
    <mergeCell ref="S98:U98"/>
    <mergeCell ref="J99:L99"/>
    <mergeCell ref="M99:O99"/>
    <mergeCell ref="P99:R99"/>
    <mergeCell ref="S99:U99"/>
    <mergeCell ref="J96:L96"/>
    <mergeCell ref="M96:O96"/>
    <mergeCell ref="P96:R96"/>
    <mergeCell ref="S96:U96"/>
    <mergeCell ref="J97:L97"/>
    <mergeCell ref="M97:O97"/>
    <mergeCell ref="P97:R97"/>
    <mergeCell ref="S97:U97"/>
    <mergeCell ref="J94:L94"/>
    <mergeCell ref="M94:O94"/>
    <mergeCell ref="P94:R94"/>
    <mergeCell ref="S94:U94"/>
    <mergeCell ref="J95:L95"/>
    <mergeCell ref="M95:O95"/>
    <mergeCell ref="P95:R95"/>
    <mergeCell ref="S95:U95"/>
    <mergeCell ref="J92:L92"/>
    <mergeCell ref="M92:O92"/>
    <mergeCell ref="P92:R92"/>
    <mergeCell ref="S92:U92"/>
    <mergeCell ref="J93:L93"/>
    <mergeCell ref="M93:O93"/>
    <mergeCell ref="P93:R93"/>
    <mergeCell ref="S93:U93"/>
    <mergeCell ref="J90:L90"/>
    <mergeCell ref="M90:O90"/>
    <mergeCell ref="P90:R90"/>
    <mergeCell ref="S90:U90"/>
    <mergeCell ref="J91:L91"/>
    <mergeCell ref="M91:O91"/>
    <mergeCell ref="P91:R91"/>
    <mergeCell ref="S91:U91"/>
    <mergeCell ref="J88:L88"/>
    <mergeCell ref="M88:O88"/>
    <mergeCell ref="P88:R88"/>
    <mergeCell ref="S88:U88"/>
    <mergeCell ref="J89:L89"/>
    <mergeCell ref="M89:O89"/>
    <mergeCell ref="P89:R89"/>
    <mergeCell ref="S89:U89"/>
    <mergeCell ref="J86:L86"/>
    <mergeCell ref="M86:O86"/>
    <mergeCell ref="P86:R86"/>
    <mergeCell ref="S86:U86"/>
    <mergeCell ref="J87:L87"/>
    <mergeCell ref="M87:O87"/>
    <mergeCell ref="P87:R87"/>
    <mergeCell ref="S87:U87"/>
    <mergeCell ref="J84:L84"/>
    <mergeCell ref="M84:O84"/>
    <mergeCell ref="P84:R84"/>
    <mergeCell ref="S84:U84"/>
    <mergeCell ref="J85:L85"/>
    <mergeCell ref="M85:O85"/>
    <mergeCell ref="P85:R85"/>
    <mergeCell ref="S85:U85"/>
    <mergeCell ref="J81:L82"/>
    <mergeCell ref="M81:O82"/>
    <mergeCell ref="P81:R82"/>
    <mergeCell ref="S81:U82"/>
    <mergeCell ref="J83:L83"/>
    <mergeCell ref="M83:O83"/>
    <mergeCell ref="P83:R83"/>
    <mergeCell ref="S83:U83"/>
    <mergeCell ref="M79:O79"/>
    <mergeCell ref="P79:R79"/>
    <mergeCell ref="S79:U79"/>
    <mergeCell ref="J76:L76"/>
    <mergeCell ref="M76:O76"/>
    <mergeCell ref="P76:R76"/>
    <mergeCell ref="S76:U76"/>
    <mergeCell ref="J77:L77"/>
    <mergeCell ref="M77:O77"/>
    <mergeCell ref="P77:R77"/>
    <mergeCell ref="S77:U77"/>
    <mergeCell ref="J74:L74"/>
    <mergeCell ref="M74:O74"/>
    <mergeCell ref="P74:R74"/>
    <mergeCell ref="S74:U74"/>
    <mergeCell ref="J75:L75"/>
    <mergeCell ref="M75:O75"/>
    <mergeCell ref="P75:R75"/>
    <mergeCell ref="S75:U75"/>
    <mergeCell ref="J72:L72"/>
    <mergeCell ref="M72:O72"/>
    <mergeCell ref="P72:R72"/>
    <mergeCell ref="S72:U72"/>
    <mergeCell ref="J73:L73"/>
    <mergeCell ref="M73:O73"/>
    <mergeCell ref="P73:R73"/>
    <mergeCell ref="S73:U73"/>
    <mergeCell ref="J70:L70"/>
    <mergeCell ref="M70:O70"/>
    <mergeCell ref="P70:R70"/>
    <mergeCell ref="S70:U70"/>
    <mergeCell ref="J71:L71"/>
    <mergeCell ref="M71:O71"/>
    <mergeCell ref="P71:R71"/>
    <mergeCell ref="S71:U71"/>
    <mergeCell ref="J68:L68"/>
    <mergeCell ref="M68:O68"/>
    <mergeCell ref="P68:R68"/>
    <mergeCell ref="S68:U68"/>
    <mergeCell ref="J69:L69"/>
    <mergeCell ref="M69:O69"/>
    <mergeCell ref="P69:R69"/>
    <mergeCell ref="S69:U69"/>
    <mergeCell ref="J66:L66"/>
    <mergeCell ref="M66:O66"/>
    <mergeCell ref="P66:R66"/>
    <mergeCell ref="S66:U66"/>
    <mergeCell ref="J67:L67"/>
    <mergeCell ref="M67:O67"/>
    <mergeCell ref="P67:R67"/>
    <mergeCell ref="S67:U67"/>
    <mergeCell ref="J64:L64"/>
    <mergeCell ref="M64:O64"/>
    <mergeCell ref="P64:R64"/>
    <mergeCell ref="S64:U64"/>
    <mergeCell ref="J65:L65"/>
    <mergeCell ref="M65:O65"/>
    <mergeCell ref="P65:R65"/>
    <mergeCell ref="S65:U65"/>
    <mergeCell ref="J62:L62"/>
    <mergeCell ref="M62:O62"/>
    <mergeCell ref="P62:R62"/>
    <mergeCell ref="S62:U62"/>
    <mergeCell ref="J63:L63"/>
    <mergeCell ref="M63:O63"/>
    <mergeCell ref="P63:R63"/>
    <mergeCell ref="S63:U63"/>
    <mergeCell ref="J60:L60"/>
    <mergeCell ref="M60:O60"/>
    <mergeCell ref="P60:R60"/>
    <mergeCell ref="S60:U60"/>
    <mergeCell ref="J61:L61"/>
    <mergeCell ref="M61:O61"/>
    <mergeCell ref="P61:R61"/>
    <mergeCell ref="S61:U61"/>
    <mergeCell ref="J58:L58"/>
    <mergeCell ref="M58:O58"/>
    <mergeCell ref="P58:R58"/>
    <mergeCell ref="S58:U58"/>
    <mergeCell ref="J59:L59"/>
    <mergeCell ref="M59:O59"/>
    <mergeCell ref="P59:R59"/>
    <mergeCell ref="S59:U59"/>
    <mergeCell ref="J56:L56"/>
    <mergeCell ref="M56:O56"/>
    <mergeCell ref="P56:R56"/>
    <mergeCell ref="S56:U56"/>
    <mergeCell ref="J57:L57"/>
    <mergeCell ref="M57:O57"/>
    <mergeCell ref="P57:R57"/>
    <mergeCell ref="S57:U57"/>
    <mergeCell ref="J54:L54"/>
    <mergeCell ref="M54:O54"/>
    <mergeCell ref="P54:R54"/>
    <mergeCell ref="S54:U54"/>
    <mergeCell ref="J55:L55"/>
    <mergeCell ref="M55:O55"/>
    <mergeCell ref="P55:R55"/>
    <mergeCell ref="S55:U55"/>
    <mergeCell ref="J52:L52"/>
    <mergeCell ref="M52:O52"/>
    <mergeCell ref="P52:R52"/>
    <mergeCell ref="S52:U52"/>
    <mergeCell ref="J53:L53"/>
    <mergeCell ref="M53:O53"/>
    <mergeCell ref="P53:R53"/>
    <mergeCell ref="S53:U53"/>
    <mergeCell ref="J50:L50"/>
    <mergeCell ref="M50:O50"/>
    <mergeCell ref="P50:R50"/>
    <mergeCell ref="S50:U50"/>
    <mergeCell ref="J51:L51"/>
    <mergeCell ref="M51:O51"/>
    <mergeCell ref="P51:R51"/>
    <mergeCell ref="S51:U51"/>
    <mergeCell ref="J48:L48"/>
    <mergeCell ref="M48:O48"/>
    <mergeCell ref="P48:R48"/>
    <mergeCell ref="S48:U48"/>
    <mergeCell ref="J49:L49"/>
    <mergeCell ref="M49:O49"/>
    <mergeCell ref="P49:R49"/>
    <mergeCell ref="S49:U49"/>
    <mergeCell ref="J46:L46"/>
    <mergeCell ref="M46:O46"/>
    <mergeCell ref="P46:R46"/>
    <mergeCell ref="S46:U46"/>
    <mergeCell ref="J47:L47"/>
    <mergeCell ref="M47:O47"/>
    <mergeCell ref="P47:R47"/>
    <mergeCell ref="S47:U47"/>
    <mergeCell ref="J44:L44"/>
    <mergeCell ref="M44:O44"/>
    <mergeCell ref="P44:R44"/>
    <mergeCell ref="S44:U44"/>
    <mergeCell ref="J45:L45"/>
    <mergeCell ref="M45:O45"/>
    <mergeCell ref="P45:R45"/>
    <mergeCell ref="S45:U45"/>
    <mergeCell ref="J41:L42"/>
    <mergeCell ref="M41:O42"/>
    <mergeCell ref="P41:R42"/>
    <mergeCell ref="S41:U42"/>
    <mergeCell ref="J43:L43"/>
    <mergeCell ref="M43:O43"/>
    <mergeCell ref="P43:R43"/>
    <mergeCell ref="S43:U43"/>
    <mergeCell ref="J38:L38"/>
    <mergeCell ref="M38:O38"/>
    <mergeCell ref="P38:R38"/>
    <mergeCell ref="S38:U38"/>
    <mergeCell ref="J39:L39"/>
    <mergeCell ref="M39:O39"/>
    <mergeCell ref="P39:R39"/>
    <mergeCell ref="S39:U39"/>
    <mergeCell ref="J36:L36"/>
    <mergeCell ref="M36:O36"/>
    <mergeCell ref="P36:R36"/>
    <mergeCell ref="S36:U36"/>
    <mergeCell ref="J37:L37"/>
    <mergeCell ref="M37:O37"/>
    <mergeCell ref="P37:R37"/>
    <mergeCell ref="S37:U37"/>
    <mergeCell ref="J34:L34"/>
    <mergeCell ref="M34:O34"/>
    <mergeCell ref="P34:R34"/>
    <mergeCell ref="S34:U34"/>
    <mergeCell ref="J35:L35"/>
    <mergeCell ref="M35:O35"/>
    <mergeCell ref="P35:R35"/>
    <mergeCell ref="S35:U35"/>
    <mergeCell ref="J32:L32"/>
    <mergeCell ref="M32:O32"/>
    <mergeCell ref="P32:R32"/>
    <mergeCell ref="S32:U32"/>
    <mergeCell ref="J33:L33"/>
    <mergeCell ref="M33:O33"/>
    <mergeCell ref="P33:R33"/>
    <mergeCell ref="S33:U33"/>
    <mergeCell ref="J30:L30"/>
    <mergeCell ref="M30:O30"/>
    <mergeCell ref="P30:R30"/>
    <mergeCell ref="S30:U30"/>
    <mergeCell ref="J31:L31"/>
    <mergeCell ref="M31:O31"/>
    <mergeCell ref="P31:R31"/>
    <mergeCell ref="S31:U31"/>
    <mergeCell ref="J28:L28"/>
    <mergeCell ref="M28:O28"/>
    <mergeCell ref="P28:R28"/>
    <mergeCell ref="S28:U28"/>
    <mergeCell ref="J29:L29"/>
    <mergeCell ref="M29:O29"/>
    <mergeCell ref="P29:R29"/>
    <mergeCell ref="S29:U29"/>
    <mergeCell ref="J26:L26"/>
    <mergeCell ref="M26:O26"/>
    <mergeCell ref="P26:R26"/>
    <mergeCell ref="S26:U26"/>
    <mergeCell ref="J27:L27"/>
    <mergeCell ref="M27:O27"/>
    <mergeCell ref="P27:R27"/>
    <mergeCell ref="S27:U27"/>
    <mergeCell ref="J24:L24"/>
    <mergeCell ref="M24:O24"/>
    <mergeCell ref="P24:R24"/>
    <mergeCell ref="S24:U24"/>
    <mergeCell ref="J25:L25"/>
    <mergeCell ref="M25:O25"/>
    <mergeCell ref="P25:R25"/>
    <mergeCell ref="S25:U25"/>
    <mergeCell ref="J22:L22"/>
    <mergeCell ref="M22:O22"/>
    <mergeCell ref="P22:R22"/>
    <mergeCell ref="S22:U22"/>
    <mergeCell ref="J23:L23"/>
    <mergeCell ref="M23:O23"/>
    <mergeCell ref="P23:R23"/>
    <mergeCell ref="S23:U23"/>
    <mergeCell ref="J20:L20"/>
    <mergeCell ref="M20:O20"/>
    <mergeCell ref="P20:R20"/>
    <mergeCell ref="S20:U20"/>
    <mergeCell ref="J21:L21"/>
    <mergeCell ref="M21:O21"/>
    <mergeCell ref="P21:R21"/>
    <mergeCell ref="S21:U21"/>
    <mergeCell ref="J18:L18"/>
    <mergeCell ref="M18:O18"/>
    <mergeCell ref="P18:R18"/>
    <mergeCell ref="S18:U18"/>
    <mergeCell ref="J19:L19"/>
    <mergeCell ref="M19:O19"/>
    <mergeCell ref="P19:R19"/>
    <mergeCell ref="S19:U19"/>
    <mergeCell ref="J16:L16"/>
    <mergeCell ref="M16:O16"/>
    <mergeCell ref="P16:R16"/>
    <mergeCell ref="S16:U16"/>
    <mergeCell ref="J17:L17"/>
    <mergeCell ref="M17:O17"/>
    <mergeCell ref="P17:R17"/>
    <mergeCell ref="S17:U17"/>
    <mergeCell ref="J14:L14"/>
    <mergeCell ref="M14:O14"/>
    <mergeCell ref="P14:R14"/>
    <mergeCell ref="S14:U14"/>
    <mergeCell ref="J15:L15"/>
    <mergeCell ref="M15:O15"/>
    <mergeCell ref="P15:R15"/>
    <mergeCell ref="S15:U15"/>
    <mergeCell ref="J12:L12"/>
    <mergeCell ref="M12:O12"/>
    <mergeCell ref="P12:R12"/>
    <mergeCell ref="S12:U12"/>
    <mergeCell ref="J13:L13"/>
    <mergeCell ref="M13:O13"/>
    <mergeCell ref="P13:R13"/>
    <mergeCell ref="S13:U13"/>
    <mergeCell ref="S10:U10"/>
    <mergeCell ref="J11:L11"/>
    <mergeCell ref="M11:O11"/>
    <mergeCell ref="P11:R11"/>
    <mergeCell ref="S11:U11"/>
    <mergeCell ref="J8:L8"/>
    <mergeCell ref="M8:O8"/>
    <mergeCell ref="P8:R8"/>
    <mergeCell ref="S8:U8"/>
    <mergeCell ref="J9:L9"/>
    <mergeCell ref="M9:O9"/>
    <mergeCell ref="P9:R9"/>
    <mergeCell ref="S9:U9"/>
    <mergeCell ref="M1:O2"/>
    <mergeCell ref="P1:R2"/>
    <mergeCell ref="J7:L7"/>
    <mergeCell ref="M7:O7"/>
    <mergeCell ref="P7:R7"/>
    <mergeCell ref="S7:U7"/>
    <mergeCell ref="M5:O5"/>
    <mergeCell ref="P5:R5"/>
    <mergeCell ref="S5:U5"/>
    <mergeCell ref="J6:L6"/>
    <mergeCell ref="M6:O6"/>
    <mergeCell ref="P6:R6"/>
    <mergeCell ref="S6:U6"/>
    <mergeCell ref="S1:U2"/>
    <mergeCell ref="J3:L3"/>
    <mergeCell ref="M3:O3"/>
    <mergeCell ref="P3:R3"/>
    <mergeCell ref="S3:U3"/>
    <mergeCell ref="J4:L4"/>
    <mergeCell ref="M4:O4"/>
    <mergeCell ref="J1:L2"/>
    <mergeCell ref="G391:I391"/>
    <mergeCell ref="G392:I392"/>
    <mergeCell ref="G394:I394"/>
    <mergeCell ref="G376:I376"/>
    <mergeCell ref="G377:I377"/>
    <mergeCell ref="G379:I379"/>
    <mergeCell ref="G380:I380"/>
    <mergeCell ref="G395:I395"/>
    <mergeCell ref="G396:I396"/>
    <mergeCell ref="G383:I383"/>
    <mergeCell ref="G384:I384"/>
    <mergeCell ref="G387:I387"/>
    <mergeCell ref="G388:I388"/>
    <mergeCell ref="G389:I389"/>
    <mergeCell ref="G390:I390"/>
    <mergeCell ref="G381:I381"/>
    <mergeCell ref="G382:I382"/>
    <mergeCell ref="G366:I366"/>
    <mergeCell ref="G367:I367"/>
    <mergeCell ref="G372:I372"/>
    <mergeCell ref="G373:I373"/>
    <mergeCell ref="J10:L10"/>
    <mergeCell ref="M10:O10"/>
    <mergeCell ref="G85:I85"/>
    <mergeCell ref="G86:I86"/>
    <mergeCell ref="G87:I87"/>
    <mergeCell ref="G88:I88"/>
    <mergeCell ref="G89:I89"/>
    <mergeCell ref="G53:I53"/>
    <mergeCell ref="G41:I42"/>
    <mergeCell ref="P10:R10"/>
    <mergeCell ref="G135:I135"/>
    <mergeCell ref="G138:I138"/>
    <mergeCell ref="G139:I139"/>
    <mergeCell ref="G128:I128"/>
    <mergeCell ref="G129:I129"/>
    <mergeCell ref="G130:I130"/>
    <mergeCell ref="G131:I131"/>
    <mergeCell ref="G132:I132"/>
    <mergeCell ref="G134:I134"/>
    <mergeCell ref="G121:I122"/>
    <mergeCell ref="G123:I123"/>
    <mergeCell ref="G124:I124"/>
    <mergeCell ref="G125:I125"/>
    <mergeCell ref="G126:I126"/>
    <mergeCell ref="G127:I127"/>
    <mergeCell ref="G398:I398"/>
    <mergeCell ref="G96:I96"/>
    <mergeCell ref="G97:I97"/>
    <mergeCell ref="G98:I98"/>
    <mergeCell ref="G99:I99"/>
    <mergeCell ref="G100:I100"/>
    <mergeCell ref="G74:I74"/>
    <mergeCell ref="G75:I75"/>
    <mergeCell ref="G101:I101"/>
    <mergeCell ref="G90:I90"/>
    <mergeCell ref="G91:I91"/>
    <mergeCell ref="G92:I92"/>
    <mergeCell ref="G93:I93"/>
    <mergeCell ref="G94:I94"/>
    <mergeCell ref="G95:I95"/>
    <mergeCell ref="G84:I84"/>
    <mergeCell ref="G399:I399"/>
    <mergeCell ref="G397:I397"/>
    <mergeCell ref="G114:I114"/>
    <mergeCell ref="G115:I115"/>
    <mergeCell ref="G116:I116"/>
    <mergeCell ref="G117:I117"/>
    <mergeCell ref="G118:I118"/>
    <mergeCell ref="G119:I119"/>
    <mergeCell ref="G108:I108"/>
    <mergeCell ref="G109:I109"/>
    <mergeCell ref="G110:I110"/>
    <mergeCell ref="G111:I111"/>
    <mergeCell ref="G112:I112"/>
    <mergeCell ref="G113:I113"/>
    <mergeCell ref="G102:I102"/>
    <mergeCell ref="G103:I103"/>
    <mergeCell ref="G104:I104"/>
    <mergeCell ref="G105:I105"/>
    <mergeCell ref="G106:I106"/>
    <mergeCell ref="G107:I107"/>
    <mergeCell ref="G43:I43"/>
    <mergeCell ref="G44:I44"/>
    <mergeCell ref="G45:I45"/>
    <mergeCell ref="G46:I46"/>
    <mergeCell ref="G47:I47"/>
    <mergeCell ref="G68:I68"/>
    <mergeCell ref="G69:I69"/>
    <mergeCell ref="G70:I70"/>
    <mergeCell ref="G71:I71"/>
    <mergeCell ref="G72:I72"/>
    <mergeCell ref="G73:I73"/>
    <mergeCell ref="G62:I62"/>
    <mergeCell ref="G63:I63"/>
    <mergeCell ref="G64:I64"/>
    <mergeCell ref="G65:I65"/>
    <mergeCell ref="G66:I66"/>
    <mergeCell ref="G67:I67"/>
    <mergeCell ref="D399:F399"/>
    <mergeCell ref="D239:F239"/>
    <mergeCell ref="G1:I2"/>
    <mergeCell ref="G3:I3"/>
    <mergeCell ref="G4:I4"/>
    <mergeCell ref="G5:I5"/>
    <mergeCell ref="G6:I6"/>
    <mergeCell ref="G7:I7"/>
    <mergeCell ref="G8:I8"/>
    <mergeCell ref="G9:I9"/>
    <mergeCell ref="D398:F398"/>
    <mergeCell ref="D39:F39"/>
    <mergeCell ref="D79:F79"/>
    <mergeCell ref="D119:F119"/>
    <mergeCell ref="D159:F159"/>
    <mergeCell ref="D199:F199"/>
    <mergeCell ref="D279:F279"/>
    <mergeCell ref="D319:F319"/>
    <mergeCell ref="D364:F364"/>
    <mergeCell ref="D365:F365"/>
    <mergeCell ref="D370:F370"/>
    <mergeCell ref="D324:F324"/>
    <mergeCell ref="D325:F325"/>
    <mergeCell ref="D326:F326"/>
    <mergeCell ref="D327:F327"/>
    <mergeCell ref="D328:F328"/>
    <mergeCell ref="G55:I55"/>
    <mergeCell ref="G56:I56"/>
    <mergeCell ref="G57:I57"/>
    <mergeCell ref="G58:I58"/>
    <mergeCell ref="G59:I59"/>
    <mergeCell ref="G48:I48"/>
    <mergeCell ref="D127:F127"/>
    <mergeCell ref="D128:F128"/>
    <mergeCell ref="D130:F130"/>
    <mergeCell ref="D164:F164"/>
    <mergeCell ref="D165:F165"/>
    <mergeCell ref="D166:F166"/>
    <mergeCell ref="D9:F9"/>
    <mergeCell ref="D15:F15"/>
    <mergeCell ref="D21:F21"/>
    <mergeCell ref="D1:F2"/>
    <mergeCell ref="D4:F4"/>
    <mergeCell ref="D5:F5"/>
    <mergeCell ref="D6:F6"/>
    <mergeCell ref="D19:F19"/>
    <mergeCell ref="D16:F16"/>
    <mergeCell ref="D17:F17"/>
    <mergeCell ref="D22:F22"/>
    <mergeCell ref="D23:F23"/>
    <mergeCell ref="D18:F18"/>
    <mergeCell ref="D101:F101"/>
    <mergeCell ref="D12:F12"/>
    <mergeCell ref="D10:F10"/>
    <mergeCell ref="D8:F8"/>
    <mergeCell ref="D48:F48"/>
    <mergeCell ref="D59:F59"/>
    <mergeCell ref="D29:F29"/>
    <mergeCell ref="D69:F69"/>
    <mergeCell ref="D70:F70"/>
    <mergeCell ref="D71:F71"/>
    <mergeCell ref="D73:F73"/>
    <mergeCell ref="D72:F72"/>
    <mergeCell ref="D75:F75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A398:C398"/>
    <mergeCell ref="V398:X398"/>
    <mergeCell ref="A399:C399"/>
    <mergeCell ref="V399:X399"/>
    <mergeCell ref="A1:C1"/>
    <mergeCell ref="A2:C2"/>
    <mergeCell ref="A41:C41"/>
    <mergeCell ref="A42:C42"/>
    <mergeCell ref="A81:C81"/>
    <mergeCell ref="A82:C82"/>
    <mergeCell ref="A395:C395"/>
    <mergeCell ref="V395:X395"/>
    <mergeCell ref="A396:C396"/>
    <mergeCell ref="V396:X396"/>
    <mergeCell ref="A397:C397"/>
    <mergeCell ref="V397:X397"/>
    <mergeCell ref="D395:F395"/>
    <mergeCell ref="D396:F396"/>
    <mergeCell ref="D397:F397"/>
    <mergeCell ref="J395:L395"/>
    <mergeCell ref="A392:C392"/>
    <mergeCell ref="V392:X392"/>
    <mergeCell ref="A393:C393"/>
    <mergeCell ref="V393:X393"/>
    <mergeCell ref="A394:C394"/>
    <mergeCell ref="V394:X394"/>
    <mergeCell ref="D393:F393"/>
    <mergeCell ref="D392:F392"/>
    <mergeCell ref="D394:F394"/>
    <mergeCell ref="G393:I393"/>
    <mergeCell ref="A389:C389"/>
    <mergeCell ref="V389:X389"/>
    <mergeCell ref="A390:C390"/>
    <mergeCell ref="V390:X390"/>
    <mergeCell ref="A391:C391"/>
    <mergeCell ref="V391:X391"/>
    <mergeCell ref="D389:F389"/>
    <mergeCell ref="D390:F390"/>
    <mergeCell ref="D391:F391"/>
    <mergeCell ref="J389:L389"/>
    <mergeCell ref="A386:C386"/>
    <mergeCell ref="V386:X386"/>
    <mergeCell ref="A387:C387"/>
    <mergeCell ref="V387:X387"/>
    <mergeCell ref="A388:C388"/>
    <mergeCell ref="V388:X388"/>
    <mergeCell ref="D387:F387"/>
    <mergeCell ref="D386:F386"/>
    <mergeCell ref="D388:F388"/>
    <mergeCell ref="G386:I386"/>
    <mergeCell ref="A383:C383"/>
    <mergeCell ref="V383:X383"/>
    <mergeCell ref="A384:C384"/>
    <mergeCell ref="V384:X384"/>
    <mergeCell ref="A385:C385"/>
    <mergeCell ref="V385:X385"/>
    <mergeCell ref="D383:F383"/>
    <mergeCell ref="D384:F384"/>
    <mergeCell ref="D385:F385"/>
    <mergeCell ref="G385:I385"/>
    <mergeCell ref="A380:C380"/>
    <mergeCell ref="V380:X380"/>
    <mergeCell ref="A381:C381"/>
    <mergeCell ref="V381:X381"/>
    <mergeCell ref="A382:C382"/>
    <mergeCell ref="V382:X382"/>
    <mergeCell ref="D381:F381"/>
    <mergeCell ref="D380:F380"/>
    <mergeCell ref="D382:F382"/>
    <mergeCell ref="J381:L381"/>
    <mergeCell ref="J380:L380"/>
    <mergeCell ref="M380:O380"/>
    <mergeCell ref="P380:R380"/>
    <mergeCell ref="S380:U380"/>
    <mergeCell ref="M381:O381"/>
    <mergeCell ref="P381:R381"/>
    <mergeCell ref="S381:U381"/>
    <mergeCell ref="S383:U383"/>
    <mergeCell ref="A377:C377"/>
    <mergeCell ref="V377:X377"/>
    <mergeCell ref="A378:C378"/>
    <mergeCell ref="V378:X378"/>
    <mergeCell ref="A379:C379"/>
    <mergeCell ref="V379:X379"/>
    <mergeCell ref="D377:F377"/>
    <mergeCell ref="D378:F378"/>
    <mergeCell ref="D379:F379"/>
    <mergeCell ref="G378:I378"/>
    <mergeCell ref="A374:C374"/>
    <mergeCell ref="V374:X374"/>
    <mergeCell ref="A375:C375"/>
    <mergeCell ref="V375:X375"/>
    <mergeCell ref="A376:C376"/>
    <mergeCell ref="V376:X376"/>
    <mergeCell ref="D375:F375"/>
    <mergeCell ref="D374:F374"/>
    <mergeCell ref="D376:F376"/>
    <mergeCell ref="J375:L375"/>
    <mergeCell ref="G374:I374"/>
    <mergeCell ref="G375:I375"/>
    <mergeCell ref="M375:O375"/>
    <mergeCell ref="P375:R375"/>
    <mergeCell ref="S375:U375"/>
    <mergeCell ref="J378:L378"/>
    <mergeCell ref="M378:O378"/>
    <mergeCell ref="P378:R378"/>
    <mergeCell ref="S378:U378"/>
    <mergeCell ref="J379:L379"/>
    <mergeCell ref="M379:O379"/>
    <mergeCell ref="P379:R379"/>
    <mergeCell ref="A371:C371"/>
    <mergeCell ref="V371:X371"/>
    <mergeCell ref="A372:C372"/>
    <mergeCell ref="V372:X372"/>
    <mergeCell ref="A373:C373"/>
    <mergeCell ref="V373:X373"/>
    <mergeCell ref="D371:F371"/>
    <mergeCell ref="D372:F372"/>
    <mergeCell ref="D373:F373"/>
    <mergeCell ref="G371:I371"/>
    <mergeCell ref="A368:C368"/>
    <mergeCell ref="V368:X368"/>
    <mergeCell ref="A369:C369"/>
    <mergeCell ref="V369:X369"/>
    <mergeCell ref="A370:C370"/>
    <mergeCell ref="V370:X370"/>
    <mergeCell ref="D369:F369"/>
    <mergeCell ref="G368:I368"/>
    <mergeCell ref="G369:I369"/>
    <mergeCell ref="G370:I370"/>
    <mergeCell ref="D368:F368"/>
    <mergeCell ref="J368:L368"/>
    <mergeCell ref="M368:O368"/>
    <mergeCell ref="P368:R368"/>
    <mergeCell ref="S368:U368"/>
    <mergeCell ref="J369:L369"/>
    <mergeCell ref="M369:O369"/>
    <mergeCell ref="P369:R369"/>
    <mergeCell ref="S369:U369"/>
    <mergeCell ref="S371:U371"/>
    <mergeCell ref="A365:C365"/>
    <mergeCell ref="V365:X365"/>
    <mergeCell ref="A366:C366"/>
    <mergeCell ref="V366:X366"/>
    <mergeCell ref="A367:C367"/>
    <mergeCell ref="V367:X367"/>
    <mergeCell ref="J366:L366"/>
    <mergeCell ref="M366:O366"/>
    <mergeCell ref="P366:R366"/>
    <mergeCell ref="S366:U366"/>
    <mergeCell ref="V361:X362"/>
    <mergeCell ref="A363:C363"/>
    <mergeCell ref="V363:X363"/>
    <mergeCell ref="A364:C364"/>
    <mergeCell ref="V364:X364"/>
    <mergeCell ref="A361:C361"/>
    <mergeCell ref="A362:C362"/>
    <mergeCell ref="D363:F363"/>
    <mergeCell ref="D361:F362"/>
    <mergeCell ref="G364:I364"/>
    <mergeCell ref="D366:F366"/>
    <mergeCell ref="D367:F367"/>
    <mergeCell ref="G361:I362"/>
    <mergeCell ref="G363:I363"/>
    <mergeCell ref="G365:I365"/>
    <mergeCell ref="J361:L362"/>
    <mergeCell ref="M361:O362"/>
    <mergeCell ref="P361:R362"/>
    <mergeCell ref="S361:U362"/>
    <mergeCell ref="J365:L365"/>
    <mergeCell ref="M365:O365"/>
    <mergeCell ref="P365:R365"/>
    <mergeCell ref="A358:C358"/>
    <mergeCell ref="V358:X358"/>
    <mergeCell ref="A359:C359"/>
    <mergeCell ref="V359:X359"/>
    <mergeCell ref="D358:F358"/>
    <mergeCell ref="D359:F359"/>
    <mergeCell ref="J358:L358"/>
    <mergeCell ref="M358:O358"/>
    <mergeCell ref="P358:R358"/>
    <mergeCell ref="S358:U358"/>
    <mergeCell ref="A355:C355"/>
    <mergeCell ref="V355:X355"/>
    <mergeCell ref="A356:C356"/>
    <mergeCell ref="V356:X356"/>
    <mergeCell ref="A357:C357"/>
    <mergeCell ref="V357:X357"/>
    <mergeCell ref="D355:F355"/>
    <mergeCell ref="D356:F356"/>
    <mergeCell ref="D357:F357"/>
    <mergeCell ref="J356:L356"/>
    <mergeCell ref="G357:I357"/>
    <mergeCell ref="G358:I358"/>
    <mergeCell ref="G359:I359"/>
    <mergeCell ref="G355:I355"/>
    <mergeCell ref="G356:I356"/>
    <mergeCell ref="M355:O355"/>
    <mergeCell ref="P355:R355"/>
    <mergeCell ref="S355:U355"/>
    <mergeCell ref="A352:C352"/>
    <mergeCell ref="V352:X352"/>
    <mergeCell ref="A353:C353"/>
    <mergeCell ref="V353:X353"/>
    <mergeCell ref="A354:C354"/>
    <mergeCell ref="V354:X354"/>
    <mergeCell ref="D353:F353"/>
    <mergeCell ref="D352:F352"/>
    <mergeCell ref="D354:F354"/>
    <mergeCell ref="G353:I353"/>
    <mergeCell ref="A349:C349"/>
    <mergeCell ref="V349:X349"/>
    <mergeCell ref="A350:C350"/>
    <mergeCell ref="V350:X350"/>
    <mergeCell ref="A351:C351"/>
    <mergeCell ref="V351:X351"/>
    <mergeCell ref="D349:F349"/>
    <mergeCell ref="D350:F350"/>
    <mergeCell ref="D351:F351"/>
    <mergeCell ref="J350:L350"/>
    <mergeCell ref="G350:I350"/>
    <mergeCell ref="G351:I351"/>
    <mergeCell ref="G352:I352"/>
    <mergeCell ref="G354:I354"/>
    <mergeCell ref="G349:I349"/>
    <mergeCell ref="J352:L352"/>
    <mergeCell ref="M352:O352"/>
    <mergeCell ref="P352:R352"/>
    <mergeCell ref="S352:U352"/>
    <mergeCell ref="J353:L353"/>
    <mergeCell ref="M353:O353"/>
    <mergeCell ref="P353:R353"/>
    <mergeCell ref="A346:C346"/>
    <mergeCell ref="V346:X346"/>
    <mergeCell ref="A347:C347"/>
    <mergeCell ref="V347:X347"/>
    <mergeCell ref="A348:C348"/>
    <mergeCell ref="V348:X348"/>
    <mergeCell ref="D347:F347"/>
    <mergeCell ref="D346:F346"/>
    <mergeCell ref="D348:F348"/>
    <mergeCell ref="G346:I346"/>
    <mergeCell ref="A343:C343"/>
    <mergeCell ref="V343:X343"/>
    <mergeCell ref="A344:C344"/>
    <mergeCell ref="V344:X344"/>
    <mergeCell ref="A345:C345"/>
    <mergeCell ref="V345:X345"/>
    <mergeCell ref="D343:F343"/>
    <mergeCell ref="D344:F344"/>
    <mergeCell ref="D345:F345"/>
    <mergeCell ref="G345:I345"/>
    <mergeCell ref="G343:I343"/>
    <mergeCell ref="G344:I344"/>
    <mergeCell ref="G347:I347"/>
    <mergeCell ref="G348:I348"/>
    <mergeCell ref="J347:L347"/>
    <mergeCell ref="M347:O347"/>
    <mergeCell ref="P347:R347"/>
    <mergeCell ref="S347:U347"/>
    <mergeCell ref="J343:L343"/>
    <mergeCell ref="M343:O343"/>
    <mergeCell ref="P343:R343"/>
    <mergeCell ref="S343:U343"/>
    <mergeCell ref="A340:C340"/>
    <mergeCell ref="V340:X340"/>
    <mergeCell ref="A341:C341"/>
    <mergeCell ref="V341:X341"/>
    <mergeCell ref="A342:C342"/>
    <mergeCell ref="V342:X342"/>
    <mergeCell ref="D341:F341"/>
    <mergeCell ref="D340:F340"/>
    <mergeCell ref="D342:F342"/>
    <mergeCell ref="J340:L340"/>
    <mergeCell ref="A337:C337"/>
    <mergeCell ref="V337:X337"/>
    <mergeCell ref="A338:C338"/>
    <mergeCell ref="V338:X338"/>
    <mergeCell ref="A339:C339"/>
    <mergeCell ref="V339:X339"/>
    <mergeCell ref="D337:F337"/>
    <mergeCell ref="D338:F338"/>
    <mergeCell ref="D339:F339"/>
    <mergeCell ref="G338:I338"/>
    <mergeCell ref="G337:I337"/>
    <mergeCell ref="G339:I339"/>
    <mergeCell ref="G340:I340"/>
    <mergeCell ref="G341:I341"/>
    <mergeCell ref="G342:I342"/>
    <mergeCell ref="M340:O340"/>
    <mergeCell ref="P340:R340"/>
    <mergeCell ref="S340:U340"/>
    <mergeCell ref="J341:L341"/>
    <mergeCell ref="M341:O341"/>
    <mergeCell ref="P341:R341"/>
    <mergeCell ref="S341:U341"/>
    <mergeCell ref="A334:C334"/>
    <mergeCell ref="V334:X334"/>
    <mergeCell ref="A335:C335"/>
    <mergeCell ref="V335:X335"/>
    <mergeCell ref="A336:C336"/>
    <mergeCell ref="V336:X336"/>
    <mergeCell ref="D335:F335"/>
    <mergeCell ref="D334:F334"/>
    <mergeCell ref="D336:F336"/>
    <mergeCell ref="J334:L334"/>
    <mergeCell ref="A331:C331"/>
    <mergeCell ref="V331:X331"/>
    <mergeCell ref="A332:C332"/>
    <mergeCell ref="V332:X332"/>
    <mergeCell ref="A333:C333"/>
    <mergeCell ref="V333:X333"/>
    <mergeCell ref="D331:F331"/>
    <mergeCell ref="D332:F332"/>
    <mergeCell ref="D333:F333"/>
    <mergeCell ref="G331:I331"/>
    <mergeCell ref="G335:I335"/>
    <mergeCell ref="G336:I336"/>
    <mergeCell ref="G332:I332"/>
    <mergeCell ref="G333:I333"/>
    <mergeCell ref="G334:I334"/>
    <mergeCell ref="J335:L335"/>
    <mergeCell ref="M335:O335"/>
    <mergeCell ref="P335:R335"/>
    <mergeCell ref="S335:U335"/>
    <mergeCell ref="S331:U331"/>
    <mergeCell ref="A328:C328"/>
    <mergeCell ref="V328:X328"/>
    <mergeCell ref="A329:C329"/>
    <mergeCell ref="V329:X329"/>
    <mergeCell ref="A330:C330"/>
    <mergeCell ref="V330:X330"/>
    <mergeCell ref="D329:F329"/>
    <mergeCell ref="G329:I329"/>
    <mergeCell ref="G330:I330"/>
    <mergeCell ref="J328:L328"/>
    <mergeCell ref="A325:C325"/>
    <mergeCell ref="V325:X325"/>
    <mergeCell ref="A326:C326"/>
    <mergeCell ref="V326:X326"/>
    <mergeCell ref="A327:C327"/>
    <mergeCell ref="V327:X327"/>
    <mergeCell ref="J325:L325"/>
    <mergeCell ref="M325:O325"/>
    <mergeCell ref="P325:R325"/>
    <mergeCell ref="S325:U325"/>
    <mergeCell ref="D330:F330"/>
    <mergeCell ref="G326:I326"/>
    <mergeCell ref="G327:I327"/>
    <mergeCell ref="G328:I328"/>
    <mergeCell ref="G325:I325"/>
    <mergeCell ref="M328:O328"/>
    <mergeCell ref="P328:R328"/>
    <mergeCell ref="S328:U328"/>
    <mergeCell ref="J329:L329"/>
    <mergeCell ref="M329:O329"/>
    <mergeCell ref="P329:R329"/>
    <mergeCell ref="S329:U329"/>
    <mergeCell ref="A323:C323"/>
    <mergeCell ref="V323:X323"/>
    <mergeCell ref="A324:C324"/>
    <mergeCell ref="V324:X324"/>
    <mergeCell ref="A321:C321"/>
    <mergeCell ref="A322:C322"/>
    <mergeCell ref="D323:F323"/>
    <mergeCell ref="D321:F322"/>
    <mergeCell ref="J323:L323"/>
    <mergeCell ref="M323:O323"/>
    <mergeCell ref="A318:C318"/>
    <mergeCell ref="V318:X318"/>
    <mergeCell ref="A319:C319"/>
    <mergeCell ref="V319:X319"/>
    <mergeCell ref="D318:F318"/>
    <mergeCell ref="G321:I322"/>
    <mergeCell ref="V321:X322"/>
    <mergeCell ref="J318:L318"/>
    <mergeCell ref="M318:O318"/>
    <mergeCell ref="P318:R318"/>
    <mergeCell ref="G318:I318"/>
    <mergeCell ref="G319:I319"/>
    <mergeCell ref="G323:I323"/>
    <mergeCell ref="G324:I324"/>
    <mergeCell ref="A315:C315"/>
    <mergeCell ref="V315:X315"/>
    <mergeCell ref="A316:C316"/>
    <mergeCell ref="V316:X316"/>
    <mergeCell ref="A317:C317"/>
    <mergeCell ref="V317:X317"/>
    <mergeCell ref="D315:F315"/>
    <mergeCell ref="D316:F316"/>
    <mergeCell ref="D317:F317"/>
    <mergeCell ref="J315:L315"/>
    <mergeCell ref="A312:C312"/>
    <mergeCell ref="V312:X312"/>
    <mergeCell ref="A313:C313"/>
    <mergeCell ref="V313:X313"/>
    <mergeCell ref="A314:C314"/>
    <mergeCell ref="V314:X314"/>
    <mergeCell ref="D313:F313"/>
    <mergeCell ref="D312:F312"/>
    <mergeCell ref="D314:F314"/>
    <mergeCell ref="G313:I313"/>
    <mergeCell ref="G312:I312"/>
    <mergeCell ref="G314:I314"/>
    <mergeCell ref="G315:I315"/>
    <mergeCell ref="G316:I316"/>
    <mergeCell ref="G317:I317"/>
    <mergeCell ref="M315:O315"/>
    <mergeCell ref="P315:R315"/>
    <mergeCell ref="S315:U315"/>
    <mergeCell ref="A309:C309"/>
    <mergeCell ref="V309:X309"/>
    <mergeCell ref="A310:C310"/>
    <mergeCell ref="V310:X310"/>
    <mergeCell ref="A311:C311"/>
    <mergeCell ref="V311:X311"/>
    <mergeCell ref="D309:F309"/>
    <mergeCell ref="D310:F310"/>
    <mergeCell ref="D311:F311"/>
    <mergeCell ref="J309:L309"/>
    <mergeCell ref="A306:C306"/>
    <mergeCell ref="V306:X306"/>
    <mergeCell ref="A307:C307"/>
    <mergeCell ref="V307:X307"/>
    <mergeCell ref="A308:C308"/>
    <mergeCell ref="V308:X308"/>
    <mergeCell ref="D307:F307"/>
    <mergeCell ref="D306:F306"/>
    <mergeCell ref="D308:F308"/>
    <mergeCell ref="G306:I306"/>
    <mergeCell ref="G310:I310"/>
    <mergeCell ref="G311:I311"/>
    <mergeCell ref="G307:I307"/>
    <mergeCell ref="G308:I308"/>
    <mergeCell ref="G309:I309"/>
    <mergeCell ref="J308:L308"/>
    <mergeCell ref="M308:O308"/>
    <mergeCell ref="P308:R308"/>
    <mergeCell ref="S308:U308"/>
    <mergeCell ref="M309:O309"/>
    <mergeCell ref="P309:R309"/>
    <mergeCell ref="S309:U309"/>
    <mergeCell ref="A303:C303"/>
    <mergeCell ref="V303:X303"/>
    <mergeCell ref="A304:C304"/>
    <mergeCell ref="V304:X304"/>
    <mergeCell ref="A305:C305"/>
    <mergeCell ref="V305:X305"/>
    <mergeCell ref="D303:F303"/>
    <mergeCell ref="D304:F304"/>
    <mergeCell ref="D305:F305"/>
    <mergeCell ref="G305:I305"/>
    <mergeCell ref="A300:C300"/>
    <mergeCell ref="V300:X300"/>
    <mergeCell ref="A301:C301"/>
    <mergeCell ref="V301:X301"/>
    <mergeCell ref="A302:C302"/>
    <mergeCell ref="V302:X302"/>
    <mergeCell ref="D301:F301"/>
    <mergeCell ref="D300:F300"/>
    <mergeCell ref="D302:F302"/>
    <mergeCell ref="J301:L301"/>
    <mergeCell ref="G302:I302"/>
    <mergeCell ref="G303:I303"/>
    <mergeCell ref="G304:I304"/>
    <mergeCell ref="G300:I300"/>
    <mergeCell ref="G301:I301"/>
    <mergeCell ref="A297:C297"/>
    <mergeCell ref="V297:X297"/>
    <mergeCell ref="A298:C298"/>
    <mergeCell ref="V298:X298"/>
    <mergeCell ref="A299:C299"/>
    <mergeCell ref="V299:X299"/>
    <mergeCell ref="D297:F297"/>
    <mergeCell ref="D298:F298"/>
    <mergeCell ref="D299:F299"/>
    <mergeCell ref="G298:I298"/>
    <mergeCell ref="A294:C294"/>
    <mergeCell ref="V294:X294"/>
    <mergeCell ref="A295:C295"/>
    <mergeCell ref="V295:X295"/>
    <mergeCell ref="A296:C296"/>
    <mergeCell ref="V296:X296"/>
    <mergeCell ref="D295:F295"/>
    <mergeCell ref="D294:F294"/>
    <mergeCell ref="D296:F296"/>
    <mergeCell ref="J295:L295"/>
    <mergeCell ref="G294:I294"/>
    <mergeCell ref="G295:I295"/>
    <mergeCell ref="G296:I296"/>
    <mergeCell ref="G297:I297"/>
    <mergeCell ref="G299:I299"/>
    <mergeCell ref="J297:L297"/>
    <mergeCell ref="M297:O297"/>
    <mergeCell ref="P297:R297"/>
    <mergeCell ref="S297:U297"/>
    <mergeCell ref="A291:C291"/>
    <mergeCell ref="V291:X291"/>
    <mergeCell ref="A292:C292"/>
    <mergeCell ref="V292:X292"/>
    <mergeCell ref="A293:C293"/>
    <mergeCell ref="V293:X293"/>
    <mergeCell ref="D291:F291"/>
    <mergeCell ref="D292:F292"/>
    <mergeCell ref="D293:F293"/>
    <mergeCell ref="G291:I291"/>
    <mergeCell ref="A288:C288"/>
    <mergeCell ref="V288:X288"/>
    <mergeCell ref="A289:C289"/>
    <mergeCell ref="V289:X289"/>
    <mergeCell ref="A290:C290"/>
    <mergeCell ref="V290:X290"/>
    <mergeCell ref="D289:F289"/>
    <mergeCell ref="G289:I289"/>
    <mergeCell ref="G290:I290"/>
    <mergeCell ref="J289:L289"/>
    <mergeCell ref="D288:F288"/>
    <mergeCell ref="D290:F290"/>
    <mergeCell ref="G288:I288"/>
    <mergeCell ref="G292:I292"/>
    <mergeCell ref="G293:I293"/>
    <mergeCell ref="J290:L290"/>
    <mergeCell ref="M290:O290"/>
    <mergeCell ref="P290:R290"/>
    <mergeCell ref="S290:U290"/>
    <mergeCell ref="J291:L291"/>
    <mergeCell ref="M291:O291"/>
    <mergeCell ref="P291:R291"/>
    <mergeCell ref="A285:C285"/>
    <mergeCell ref="V285:X285"/>
    <mergeCell ref="A286:C286"/>
    <mergeCell ref="V286:X286"/>
    <mergeCell ref="A287:C287"/>
    <mergeCell ref="V287:X287"/>
    <mergeCell ref="J286:L286"/>
    <mergeCell ref="M286:O286"/>
    <mergeCell ref="P286:R286"/>
    <mergeCell ref="S286:U286"/>
    <mergeCell ref="A283:C283"/>
    <mergeCell ref="V283:X283"/>
    <mergeCell ref="A284:C284"/>
    <mergeCell ref="V284:X284"/>
    <mergeCell ref="A281:C281"/>
    <mergeCell ref="A282:C282"/>
    <mergeCell ref="D283:F283"/>
    <mergeCell ref="D281:F282"/>
    <mergeCell ref="J283:L283"/>
    <mergeCell ref="M283:O283"/>
    <mergeCell ref="D287:F287"/>
    <mergeCell ref="D284:F284"/>
    <mergeCell ref="D285:F285"/>
    <mergeCell ref="D286:F286"/>
    <mergeCell ref="G286:I286"/>
    <mergeCell ref="G287:I287"/>
    <mergeCell ref="G283:I283"/>
    <mergeCell ref="G284:I284"/>
    <mergeCell ref="G285:I285"/>
    <mergeCell ref="P283:R283"/>
    <mergeCell ref="S283:U283"/>
    <mergeCell ref="J284:L284"/>
    <mergeCell ref="A278:C278"/>
    <mergeCell ref="V278:X278"/>
    <mergeCell ref="A279:C279"/>
    <mergeCell ref="V279:X279"/>
    <mergeCell ref="D278:F278"/>
    <mergeCell ref="G281:I282"/>
    <mergeCell ref="V281:X282"/>
    <mergeCell ref="J278:L278"/>
    <mergeCell ref="M278:O278"/>
    <mergeCell ref="P278:R278"/>
    <mergeCell ref="A275:C275"/>
    <mergeCell ref="V275:X275"/>
    <mergeCell ref="A276:C276"/>
    <mergeCell ref="V276:X276"/>
    <mergeCell ref="A277:C277"/>
    <mergeCell ref="V277:X277"/>
    <mergeCell ref="D275:F275"/>
    <mergeCell ref="D276:F276"/>
    <mergeCell ref="D277:F277"/>
    <mergeCell ref="J276:L276"/>
    <mergeCell ref="G277:I277"/>
    <mergeCell ref="G278:I278"/>
    <mergeCell ref="G279:I279"/>
    <mergeCell ref="G275:I275"/>
    <mergeCell ref="G276:I276"/>
    <mergeCell ref="A272:C272"/>
    <mergeCell ref="V272:X272"/>
    <mergeCell ref="A273:C273"/>
    <mergeCell ref="V273:X273"/>
    <mergeCell ref="A274:C274"/>
    <mergeCell ref="V274:X274"/>
    <mergeCell ref="D273:F273"/>
    <mergeCell ref="D272:F272"/>
    <mergeCell ref="D274:F274"/>
    <mergeCell ref="G273:I273"/>
    <mergeCell ref="A269:C269"/>
    <mergeCell ref="V269:X269"/>
    <mergeCell ref="A270:C270"/>
    <mergeCell ref="V270:X270"/>
    <mergeCell ref="A271:C271"/>
    <mergeCell ref="V271:X271"/>
    <mergeCell ref="D269:F269"/>
    <mergeCell ref="D270:F270"/>
    <mergeCell ref="D271:F271"/>
    <mergeCell ref="J270:L270"/>
    <mergeCell ref="G269:I269"/>
    <mergeCell ref="G270:I270"/>
    <mergeCell ref="G271:I271"/>
    <mergeCell ref="G272:I272"/>
    <mergeCell ref="G274:I274"/>
    <mergeCell ref="J269:L269"/>
    <mergeCell ref="M269:O269"/>
    <mergeCell ref="P269:R269"/>
    <mergeCell ref="S269:U269"/>
    <mergeCell ref="M271:O271"/>
    <mergeCell ref="P271:R271"/>
    <mergeCell ref="S271:U271"/>
    <mergeCell ref="A266:C266"/>
    <mergeCell ref="V266:X266"/>
    <mergeCell ref="A267:C267"/>
    <mergeCell ref="V267:X267"/>
    <mergeCell ref="A268:C268"/>
    <mergeCell ref="V268:X268"/>
    <mergeCell ref="D267:F267"/>
    <mergeCell ref="D266:F266"/>
    <mergeCell ref="D268:F268"/>
    <mergeCell ref="G266:I266"/>
    <mergeCell ref="A263:C263"/>
    <mergeCell ref="V263:X263"/>
    <mergeCell ref="A264:C264"/>
    <mergeCell ref="V264:X264"/>
    <mergeCell ref="A265:C265"/>
    <mergeCell ref="V265:X265"/>
    <mergeCell ref="D263:F263"/>
    <mergeCell ref="D264:F264"/>
    <mergeCell ref="D265:F265"/>
    <mergeCell ref="G265:I265"/>
    <mergeCell ref="G263:I263"/>
    <mergeCell ref="G264:I264"/>
    <mergeCell ref="G267:I267"/>
    <mergeCell ref="G268:I268"/>
    <mergeCell ref="J268:L268"/>
    <mergeCell ref="M268:O268"/>
    <mergeCell ref="P268:R268"/>
    <mergeCell ref="S268:U268"/>
    <mergeCell ref="J266:L266"/>
    <mergeCell ref="M266:O266"/>
    <mergeCell ref="P266:R266"/>
    <mergeCell ref="S266:U266"/>
    <mergeCell ref="A260:C260"/>
    <mergeCell ref="V260:X260"/>
    <mergeCell ref="A261:C261"/>
    <mergeCell ref="V261:X261"/>
    <mergeCell ref="A262:C262"/>
    <mergeCell ref="V262:X262"/>
    <mergeCell ref="D261:F261"/>
    <mergeCell ref="D260:F260"/>
    <mergeCell ref="D262:F262"/>
    <mergeCell ref="J260:L260"/>
    <mergeCell ref="A257:C257"/>
    <mergeCell ref="V257:X257"/>
    <mergeCell ref="A258:C258"/>
    <mergeCell ref="V258:X258"/>
    <mergeCell ref="A259:C259"/>
    <mergeCell ref="V259:X259"/>
    <mergeCell ref="D257:F257"/>
    <mergeCell ref="D258:F258"/>
    <mergeCell ref="D259:F259"/>
    <mergeCell ref="G258:I258"/>
    <mergeCell ref="G262:I262"/>
    <mergeCell ref="G257:I257"/>
    <mergeCell ref="G259:I259"/>
    <mergeCell ref="G260:I260"/>
    <mergeCell ref="G261:I261"/>
    <mergeCell ref="J257:L257"/>
    <mergeCell ref="M257:O257"/>
    <mergeCell ref="P257:R257"/>
    <mergeCell ref="S257:U257"/>
    <mergeCell ref="M259:O259"/>
    <mergeCell ref="P259:R259"/>
    <mergeCell ref="S259:U259"/>
    <mergeCell ref="A254:C254"/>
    <mergeCell ref="V254:X254"/>
    <mergeCell ref="A255:C255"/>
    <mergeCell ref="V255:X255"/>
    <mergeCell ref="A256:C256"/>
    <mergeCell ref="V256:X256"/>
    <mergeCell ref="D255:F255"/>
    <mergeCell ref="D254:F254"/>
    <mergeCell ref="D256:F256"/>
    <mergeCell ref="J254:L254"/>
    <mergeCell ref="A251:C251"/>
    <mergeCell ref="V251:X251"/>
    <mergeCell ref="A252:C252"/>
    <mergeCell ref="V252:X252"/>
    <mergeCell ref="A253:C253"/>
    <mergeCell ref="V253:X253"/>
    <mergeCell ref="D251:F251"/>
    <mergeCell ref="D252:F252"/>
    <mergeCell ref="D253:F253"/>
    <mergeCell ref="G251:I251"/>
    <mergeCell ref="G255:I255"/>
    <mergeCell ref="G256:I256"/>
    <mergeCell ref="G252:I252"/>
    <mergeCell ref="G253:I253"/>
    <mergeCell ref="G254:I254"/>
    <mergeCell ref="J256:L256"/>
    <mergeCell ref="M256:O256"/>
    <mergeCell ref="P256:R256"/>
    <mergeCell ref="S256:U256"/>
    <mergeCell ref="M254:O254"/>
    <mergeCell ref="P254:R254"/>
    <mergeCell ref="S254:U254"/>
    <mergeCell ref="A248:C248"/>
    <mergeCell ref="V248:X248"/>
    <mergeCell ref="A249:C249"/>
    <mergeCell ref="V249:X249"/>
    <mergeCell ref="A250:C250"/>
    <mergeCell ref="V250:X250"/>
    <mergeCell ref="D249:F249"/>
    <mergeCell ref="G249:I249"/>
    <mergeCell ref="G250:I250"/>
    <mergeCell ref="J248:L248"/>
    <mergeCell ref="A245:C245"/>
    <mergeCell ref="V245:X245"/>
    <mergeCell ref="A246:C246"/>
    <mergeCell ref="V246:X246"/>
    <mergeCell ref="A247:C247"/>
    <mergeCell ref="V247:X247"/>
    <mergeCell ref="J245:L245"/>
    <mergeCell ref="M245:O245"/>
    <mergeCell ref="P245:R245"/>
    <mergeCell ref="S245:U245"/>
    <mergeCell ref="D247:F247"/>
    <mergeCell ref="D248:F248"/>
    <mergeCell ref="D250:F250"/>
    <mergeCell ref="D245:F245"/>
    <mergeCell ref="D246:F246"/>
    <mergeCell ref="G245:I245"/>
    <mergeCell ref="G246:I246"/>
    <mergeCell ref="G247:I247"/>
    <mergeCell ref="G248:I248"/>
    <mergeCell ref="J250:L250"/>
    <mergeCell ref="M250:O250"/>
    <mergeCell ref="P250:R250"/>
    <mergeCell ref="A243:C243"/>
    <mergeCell ref="V243:X243"/>
    <mergeCell ref="A244:C244"/>
    <mergeCell ref="V244:X244"/>
    <mergeCell ref="A241:C241"/>
    <mergeCell ref="A242:C242"/>
    <mergeCell ref="D243:F243"/>
    <mergeCell ref="D241:F242"/>
    <mergeCell ref="J243:L243"/>
    <mergeCell ref="M243:O243"/>
    <mergeCell ref="A238:C238"/>
    <mergeCell ref="V238:X238"/>
    <mergeCell ref="A239:C239"/>
    <mergeCell ref="V239:X239"/>
    <mergeCell ref="D238:F238"/>
    <mergeCell ref="G241:I242"/>
    <mergeCell ref="V241:X242"/>
    <mergeCell ref="J238:L238"/>
    <mergeCell ref="M238:O238"/>
    <mergeCell ref="P238:R238"/>
    <mergeCell ref="D244:F244"/>
    <mergeCell ref="G238:I238"/>
    <mergeCell ref="G239:I239"/>
    <mergeCell ref="G243:I243"/>
    <mergeCell ref="G244:I244"/>
    <mergeCell ref="A235:C235"/>
    <mergeCell ref="V235:X235"/>
    <mergeCell ref="A236:C236"/>
    <mergeCell ref="V236:X236"/>
    <mergeCell ref="A237:C237"/>
    <mergeCell ref="V237:X237"/>
    <mergeCell ref="D235:F235"/>
    <mergeCell ref="D236:F236"/>
    <mergeCell ref="D237:F237"/>
    <mergeCell ref="J235:L235"/>
    <mergeCell ref="A232:C232"/>
    <mergeCell ref="V232:X232"/>
    <mergeCell ref="A233:C233"/>
    <mergeCell ref="V233:X233"/>
    <mergeCell ref="A234:C234"/>
    <mergeCell ref="V234:X234"/>
    <mergeCell ref="D233:F233"/>
    <mergeCell ref="D232:F232"/>
    <mergeCell ref="D234:F234"/>
    <mergeCell ref="G233:I233"/>
    <mergeCell ref="G237:I237"/>
    <mergeCell ref="G232:I232"/>
    <mergeCell ref="G234:I234"/>
    <mergeCell ref="G235:I235"/>
    <mergeCell ref="G236:I236"/>
    <mergeCell ref="M235:O235"/>
    <mergeCell ref="P235:R235"/>
    <mergeCell ref="S235:U235"/>
    <mergeCell ref="A229:C229"/>
    <mergeCell ref="V229:X229"/>
    <mergeCell ref="A230:C230"/>
    <mergeCell ref="V230:X230"/>
    <mergeCell ref="A231:C231"/>
    <mergeCell ref="V231:X231"/>
    <mergeCell ref="D229:F229"/>
    <mergeCell ref="D230:F230"/>
    <mergeCell ref="D231:F231"/>
    <mergeCell ref="J229:L229"/>
    <mergeCell ref="A226:C226"/>
    <mergeCell ref="V226:X226"/>
    <mergeCell ref="A227:C227"/>
    <mergeCell ref="V227:X227"/>
    <mergeCell ref="A228:C228"/>
    <mergeCell ref="V228:X228"/>
    <mergeCell ref="D227:F227"/>
    <mergeCell ref="D226:F226"/>
    <mergeCell ref="D228:F228"/>
    <mergeCell ref="G226:I226"/>
    <mergeCell ref="G230:I230"/>
    <mergeCell ref="G231:I231"/>
    <mergeCell ref="G227:I227"/>
    <mergeCell ref="G228:I228"/>
    <mergeCell ref="G229:I229"/>
    <mergeCell ref="J228:L228"/>
    <mergeCell ref="M228:O228"/>
    <mergeCell ref="P228:R228"/>
    <mergeCell ref="S228:U228"/>
    <mergeCell ref="M229:O229"/>
    <mergeCell ref="P229:R229"/>
    <mergeCell ref="S229:U229"/>
    <mergeCell ref="A223:C223"/>
    <mergeCell ref="V223:X223"/>
    <mergeCell ref="A224:C224"/>
    <mergeCell ref="V224:X224"/>
    <mergeCell ref="A225:C225"/>
    <mergeCell ref="V225:X225"/>
    <mergeCell ref="D223:F223"/>
    <mergeCell ref="D224:F224"/>
    <mergeCell ref="D225:F225"/>
    <mergeCell ref="G225:I225"/>
    <mergeCell ref="A220:C220"/>
    <mergeCell ref="V220:X220"/>
    <mergeCell ref="A221:C221"/>
    <mergeCell ref="V221:X221"/>
    <mergeCell ref="A222:C222"/>
    <mergeCell ref="V222:X222"/>
    <mergeCell ref="D221:F221"/>
    <mergeCell ref="D220:F220"/>
    <mergeCell ref="D222:F222"/>
    <mergeCell ref="J221:L221"/>
    <mergeCell ref="G220:I220"/>
    <mergeCell ref="G221:I221"/>
    <mergeCell ref="G222:I222"/>
    <mergeCell ref="G223:I223"/>
    <mergeCell ref="G224:I224"/>
    <mergeCell ref="A217:C217"/>
    <mergeCell ref="V217:X217"/>
    <mergeCell ref="A218:C218"/>
    <mergeCell ref="V218:X218"/>
    <mergeCell ref="A219:C219"/>
    <mergeCell ref="V219:X219"/>
    <mergeCell ref="D217:F217"/>
    <mergeCell ref="D218:F218"/>
    <mergeCell ref="D219:F219"/>
    <mergeCell ref="G218:I218"/>
    <mergeCell ref="A214:C214"/>
    <mergeCell ref="V214:X214"/>
    <mergeCell ref="A215:C215"/>
    <mergeCell ref="V215:X215"/>
    <mergeCell ref="A216:C216"/>
    <mergeCell ref="V216:X216"/>
    <mergeCell ref="D215:F215"/>
    <mergeCell ref="D214:F214"/>
    <mergeCell ref="D216:F216"/>
    <mergeCell ref="J215:L215"/>
    <mergeCell ref="G215:I215"/>
    <mergeCell ref="G216:I216"/>
    <mergeCell ref="G217:I217"/>
    <mergeCell ref="G219:I219"/>
    <mergeCell ref="G214:I214"/>
    <mergeCell ref="J217:L217"/>
    <mergeCell ref="M217:O217"/>
    <mergeCell ref="P217:R217"/>
    <mergeCell ref="S217:U217"/>
    <mergeCell ref="A211:C211"/>
    <mergeCell ref="V211:X211"/>
    <mergeCell ref="A212:C212"/>
    <mergeCell ref="V212:X212"/>
    <mergeCell ref="A213:C213"/>
    <mergeCell ref="V213:X213"/>
    <mergeCell ref="D211:F211"/>
    <mergeCell ref="D212:F212"/>
    <mergeCell ref="D213:F213"/>
    <mergeCell ref="G211:I211"/>
    <mergeCell ref="A208:C208"/>
    <mergeCell ref="V208:X208"/>
    <mergeCell ref="A209:C209"/>
    <mergeCell ref="V209:X209"/>
    <mergeCell ref="A210:C210"/>
    <mergeCell ref="V210:X210"/>
    <mergeCell ref="D209:F209"/>
    <mergeCell ref="G209:I209"/>
    <mergeCell ref="G210:I210"/>
    <mergeCell ref="J209:L209"/>
    <mergeCell ref="D208:F208"/>
    <mergeCell ref="D210:F210"/>
    <mergeCell ref="G208:I208"/>
    <mergeCell ref="G212:I212"/>
    <mergeCell ref="G213:I213"/>
    <mergeCell ref="J210:L210"/>
    <mergeCell ref="M210:O210"/>
    <mergeCell ref="P210:R210"/>
    <mergeCell ref="S210:U210"/>
    <mergeCell ref="J211:L211"/>
    <mergeCell ref="M211:O211"/>
    <mergeCell ref="P211:R211"/>
    <mergeCell ref="A205:C205"/>
    <mergeCell ref="V205:X205"/>
    <mergeCell ref="A206:C206"/>
    <mergeCell ref="V206:X206"/>
    <mergeCell ref="A207:C207"/>
    <mergeCell ref="V207:X207"/>
    <mergeCell ref="J206:L206"/>
    <mergeCell ref="M206:O206"/>
    <mergeCell ref="P206:R206"/>
    <mergeCell ref="S206:U206"/>
    <mergeCell ref="A203:C203"/>
    <mergeCell ref="V203:X203"/>
    <mergeCell ref="A204:C204"/>
    <mergeCell ref="V204:X204"/>
    <mergeCell ref="A201:C201"/>
    <mergeCell ref="A202:C202"/>
    <mergeCell ref="D203:F203"/>
    <mergeCell ref="D201:F202"/>
    <mergeCell ref="G203:I203"/>
    <mergeCell ref="G204:I204"/>
    <mergeCell ref="D204:F204"/>
    <mergeCell ref="D205:F205"/>
    <mergeCell ref="D206:F206"/>
    <mergeCell ref="D207:F207"/>
    <mergeCell ref="G206:I206"/>
    <mergeCell ref="G207:I207"/>
    <mergeCell ref="G205:I205"/>
    <mergeCell ref="A198:C198"/>
    <mergeCell ref="V198:X198"/>
    <mergeCell ref="A199:C199"/>
    <mergeCell ref="V199:X199"/>
    <mergeCell ref="D198:F198"/>
    <mergeCell ref="G201:I202"/>
    <mergeCell ref="V201:X202"/>
    <mergeCell ref="G198:I198"/>
    <mergeCell ref="G199:I199"/>
    <mergeCell ref="J199:L199"/>
    <mergeCell ref="A195:C195"/>
    <mergeCell ref="V195:X195"/>
    <mergeCell ref="A196:C196"/>
    <mergeCell ref="V196:X196"/>
    <mergeCell ref="A197:C197"/>
    <mergeCell ref="V197:X197"/>
    <mergeCell ref="D195:F195"/>
    <mergeCell ref="D196:F196"/>
    <mergeCell ref="D197:F197"/>
    <mergeCell ref="J196:L196"/>
    <mergeCell ref="G195:I195"/>
    <mergeCell ref="G196:I196"/>
    <mergeCell ref="G197:I197"/>
    <mergeCell ref="J195:L195"/>
    <mergeCell ref="M195:O195"/>
    <mergeCell ref="P195:R195"/>
    <mergeCell ref="S195:U195"/>
    <mergeCell ref="M196:O196"/>
    <mergeCell ref="P196:R196"/>
    <mergeCell ref="S196:U196"/>
    <mergeCell ref="A192:C192"/>
    <mergeCell ref="V192:X192"/>
    <mergeCell ref="A193:C193"/>
    <mergeCell ref="V193:X193"/>
    <mergeCell ref="A194:C194"/>
    <mergeCell ref="V194:X194"/>
    <mergeCell ref="D193:F193"/>
    <mergeCell ref="D192:F192"/>
    <mergeCell ref="D194:F194"/>
    <mergeCell ref="G193:I193"/>
    <mergeCell ref="A189:C189"/>
    <mergeCell ref="V189:X189"/>
    <mergeCell ref="A190:C190"/>
    <mergeCell ref="V190:X190"/>
    <mergeCell ref="A191:C191"/>
    <mergeCell ref="V191:X191"/>
    <mergeCell ref="D189:F189"/>
    <mergeCell ref="D190:F190"/>
    <mergeCell ref="D191:F191"/>
    <mergeCell ref="J190:L190"/>
    <mergeCell ref="G189:I189"/>
    <mergeCell ref="G190:I190"/>
    <mergeCell ref="G191:I191"/>
    <mergeCell ref="G192:I192"/>
    <mergeCell ref="G194:I194"/>
    <mergeCell ref="J193:L193"/>
    <mergeCell ref="M193:O193"/>
    <mergeCell ref="P193:R193"/>
    <mergeCell ref="S193:U193"/>
    <mergeCell ref="J194:L194"/>
    <mergeCell ref="M194:O194"/>
    <mergeCell ref="P194:R194"/>
    <mergeCell ref="A186:C186"/>
    <mergeCell ref="V186:X186"/>
    <mergeCell ref="A187:C187"/>
    <mergeCell ref="V187:X187"/>
    <mergeCell ref="A188:C188"/>
    <mergeCell ref="V188:X188"/>
    <mergeCell ref="D187:F187"/>
    <mergeCell ref="D186:F186"/>
    <mergeCell ref="D188:F188"/>
    <mergeCell ref="G186:I186"/>
    <mergeCell ref="A183:C183"/>
    <mergeCell ref="V183:X183"/>
    <mergeCell ref="A184:C184"/>
    <mergeCell ref="V184:X184"/>
    <mergeCell ref="A185:C185"/>
    <mergeCell ref="V185:X185"/>
    <mergeCell ref="D183:F183"/>
    <mergeCell ref="D184:F184"/>
    <mergeCell ref="D185:F185"/>
    <mergeCell ref="G185:I185"/>
    <mergeCell ref="G184:I184"/>
    <mergeCell ref="G187:I187"/>
    <mergeCell ref="G188:I188"/>
    <mergeCell ref="G183:I183"/>
    <mergeCell ref="J183:L183"/>
    <mergeCell ref="M183:O183"/>
    <mergeCell ref="P183:R183"/>
    <mergeCell ref="S183:U183"/>
    <mergeCell ref="J184:L184"/>
    <mergeCell ref="M184:O184"/>
    <mergeCell ref="P184:R184"/>
    <mergeCell ref="S184:U184"/>
    <mergeCell ref="A180:C180"/>
    <mergeCell ref="V180:X180"/>
    <mergeCell ref="A181:C181"/>
    <mergeCell ref="V181:X181"/>
    <mergeCell ref="A182:C182"/>
    <mergeCell ref="V182:X182"/>
    <mergeCell ref="D181:F181"/>
    <mergeCell ref="D180:F180"/>
    <mergeCell ref="D182:F182"/>
    <mergeCell ref="J180:L180"/>
    <mergeCell ref="A177:C177"/>
    <mergeCell ref="V177:X177"/>
    <mergeCell ref="A178:C178"/>
    <mergeCell ref="V178:X178"/>
    <mergeCell ref="A179:C179"/>
    <mergeCell ref="V179:X179"/>
    <mergeCell ref="D177:F177"/>
    <mergeCell ref="D178:F178"/>
    <mergeCell ref="D179:F179"/>
    <mergeCell ref="G178:I178"/>
    <mergeCell ref="G177:I177"/>
    <mergeCell ref="G179:I179"/>
    <mergeCell ref="G180:I180"/>
    <mergeCell ref="G181:I181"/>
    <mergeCell ref="G182:I182"/>
    <mergeCell ref="J181:L181"/>
    <mergeCell ref="M181:O181"/>
    <mergeCell ref="P181:R181"/>
    <mergeCell ref="S181:U181"/>
    <mergeCell ref="J182:L182"/>
    <mergeCell ref="M182:O182"/>
    <mergeCell ref="P182:R182"/>
    <mergeCell ref="A174:C174"/>
    <mergeCell ref="V174:X174"/>
    <mergeCell ref="A175:C175"/>
    <mergeCell ref="V175:X175"/>
    <mergeCell ref="A176:C176"/>
    <mergeCell ref="V176:X176"/>
    <mergeCell ref="D175:F175"/>
    <mergeCell ref="D174:F174"/>
    <mergeCell ref="D176:F176"/>
    <mergeCell ref="J174:L174"/>
    <mergeCell ref="A171:C171"/>
    <mergeCell ref="V171:X171"/>
    <mergeCell ref="A172:C172"/>
    <mergeCell ref="V172:X172"/>
    <mergeCell ref="A173:C173"/>
    <mergeCell ref="V173:X173"/>
    <mergeCell ref="D171:F171"/>
    <mergeCell ref="D172:F172"/>
    <mergeCell ref="D173:F173"/>
    <mergeCell ref="G171:I171"/>
    <mergeCell ref="G172:I172"/>
    <mergeCell ref="G173:I173"/>
    <mergeCell ref="G174:I174"/>
    <mergeCell ref="G175:I175"/>
    <mergeCell ref="G176:I176"/>
    <mergeCell ref="A168:C168"/>
    <mergeCell ref="V168:X168"/>
    <mergeCell ref="A169:C169"/>
    <mergeCell ref="V169:X169"/>
    <mergeCell ref="A170:C170"/>
    <mergeCell ref="V170:X170"/>
    <mergeCell ref="D169:F169"/>
    <mergeCell ref="G168:I168"/>
    <mergeCell ref="G169:I169"/>
    <mergeCell ref="G170:I170"/>
    <mergeCell ref="A165:C165"/>
    <mergeCell ref="V165:X165"/>
    <mergeCell ref="A166:C166"/>
    <mergeCell ref="V166:X166"/>
    <mergeCell ref="A167:C167"/>
    <mergeCell ref="V167:X167"/>
    <mergeCell ref="J165:L165"/>
    <mergeCell ref="M165:O165"/>
    <mergeCell ref="P165:R165"/>
    <mergeCell ref="S165:U165"/>
    <mergeCell ref="D167:F167"/>
    <mergeCell ref="D168:F168"/>
    <mergeCell ref="D170:F170"/>
    <mergeCell ref="G165:I165"/>
    <mergeCell ref="G166:I166"/>
    <mergeCell ref="G167:I167"/>
    <mergeCell ref="J166:L166"/>
    <mergeCell ref="M166:O166"/>
    <mergeCell ref="P166:R166"/>
    <mergeCell ref="S166:U166"/>
    <mergeCell ref="M168:O168"/>
    <mergeCell ref="P168:R168"/>
    <mergeCell ref="V161:X162"/>
    <mergeCell ref="A163:C163"/>
    <mergeCell ref="V163:X163"/>
    <mergeCell ref="A164:C164"/>
    <mergeCell ref="V164:X164"/>
    <mergeCell ref="A161:C161"/>
    <mergeCell ref="A162:C162"/>
    <mergeCell ref="D163:F163"/>
    <mergeCell ref="D161:F162"/>
    <mergeCell ref="J161:L162"/>
    <mergeCell ref="A158:C158"/>
    <mergeCell ref="V158:X158"/>
    <mergeCell ref="A159:C159"/>
    <mergeCell ref="V159:X159"/>
    <mergeCell ref="D158:F158"/>
    <mergeCell ref="G159:I159"/>
    <mergeCell ref="J159:L159"/>
    <mergeCell ref="M159:O159"/>
    <mergeCell ref="P159:R159"/>
    <mergeCell ref="S159:U159"/>
    <mergeCell ref="G158:I158"/>
    <mergeCell ref="G161:I162"/>
    <mergeCell ref="G163:I163"/>
    <mergeCell ref="G164:I164"/>
    <mergeCell ref="J164:L164"/>
    <mergeCell ref="M164:O164"/>
    <mergeCell ref="P164:R164"/>
    <mergeCell ref="S164:U164"/>
    <mergeCell ref="M161:O162"/>
    <mergeCell ref="P161:R162"/>
    <mergeCell ref="S161:U162"/>
    <mergeCell ref="J163:L163"/>
    <mergeCell ref="A155:C155"/>
    <mergeCell ref="V155:X155"/>
    <mergeCell ref="A156:C156"/>
    <mergeCell ref="V156:X156"/>
    <mergeCell ref="A157:C157"/>
    <mergeCell ref="V157:X157"/>
    <mergeCell ref="D155:F155"/>
    <mergeCell ref="D156:F156"/>
    <mergeCell ref="D157:F157"/>
    <mergeCell ref="J155:L155"/>
    <mergeCell ref="A152:C152"/>
    <mergeCell ref="V152:X152"/>
    <mergeCell ref="A153:C153"/>
    <mergeCell ref="V153:X153"/>
    <mergeCell ref="A154:C154"/>
    <mergeCell ref="V154:X154"/>
    <mergeCell ref="D153:F153"/>
    <mergeCell ref="D152:F152"/>
    <mergeCell ref="D154:F154"/>
    <mergeCell ref="G152:I152"/>
    <mergeCell ref="G153:I153"/>
    <mergeCell ref="G154:I154"/>
    <mergeCell ref="G155:I155"/>
    <mergeCell ref="G156:I156"/>
    <mergeCell ref="G157:I157"/>
    <mergeCell ref="J156:L156"/>
    <mergeCell ref="M156:O156"/>
    <mergeCell ref="P156:R156"/>
    <mergeCell ref="S156:U156"/>
    <mergeCell ref="M152:O152"/>
    <mergeCell ref="P152:R152"/>
    <mergeCell ref="S152:U152"/>
    <mergeCell ref="A149:C149"/>
    <mergeCell ref="V149:X149"/>
    <mergeCell ref="A150:C150"/>
    <mergeCell ref="V150:X150"/>
    <mergeCell ref="A151:C151"/>
    <mergeCell ref="V151:X151"/>
    <mergeCell ref="D149:F149"/>
    <mergeCell ref="D150:F150"/>
    <mergeCell ref="D151:F151"/>
    <mergeCell ref="G151:I151"/>
    <mergeCell ref="A146:C146"/>
    <mergeCell ref="V146:X146"/>
    <mergeCell ref="A147:C147"/>
    <mergeCell ref="V147:X147"/>
    <mergeCell ref="A148:C148"/>
    <mergeCell ref="V148:X148"/>
    <mergeCell ref="D147:F147"/>
    <mergeCell ref="D146:F146"/>
    <mergeCell ref="D148:F148"/>
    <mergeCell ref="J147:L147"/>
    <mergeCell ref="G150:I150"/>
    <mergeCell ref="G146:I146"/>
    <mergeCell ref="G147:I147"/>
    <mergeCell ref="G148:I148"/>
    <mergeCell ref="G149:I149"/>
    <mergeCell ref="J149:L149"/>
    <mergeCell ref="M149:O149"/>
    <mergeCell ref="P149:R149"/>
    <mergeCell ref="S149:U149"/>
    <mergeCell ref="J150:L150"/>
    <mergeCell ref="M150:O150"/>
    <mergeCell ref="P150:R150"/>
    <mergeCell ref="A143:C143"/>
    <mergeCell ref="V143:X143"/>
    <mergeCell ref="A144:C144"/>
    <mergeCell ref="V144:X144"/>
    <mergeCell ref="A145:C145"/>
    <mergeCell ref="V145:X145"/>
    <mergeCell ref="D143:F143"/>
    <mergeCell ref="D144:F144"/>
    <mergeCell ref="D145:F145"/>
    <mergeCell ref="G144:I144"/>
    <mergeCell ref="A140:C140"/>
    <mergeCell ref="V140:X140"/>
    <mergeCell ref="A141:C141"/>
    <mergeCell ref="V141:X141"/>
    <mergeCell ref="A142:C142"/>
    <mergeCell ref="V142:X142"/>
    <mergeCell ref="D141:F141"/>
    <mergeCell ref="D140:F140"/>
    <mergeCell ref="D142:F142"/>
    <mergeCell ref="J141:L141"/>
    <mergeCell ref="G140:I140"/>
    <mergeCell ref="G141:I141"/>
    <mergeCell ref="G142:I142"/>
    <mergeCell ref="G143:I143"/>
    <mergeCell ref="G145:I145"/>
    <mergeCell ref="M140:O140"/>
    <mergeCell ref="P140:R140"/>
    <mergeCell ref="S140:U140"/>
    <mergeCell ref="A137:C137"/>
    <mergeCell ref="V137:X137"/>
    <mergeCell ref="A138:C138"/>
    <mergeCell ref="V138:X138"/>
    <mergeCell ref="A139:C139"/>
    <mergeCell ref="V139:X139"/>
    <mergeCell ref="D137:F137"/>
    <mergeCell ref="D138:F138"/>
    <mergeCell ref="D139:F139"/>
    <mergeCell ref="G137:I137"/>
    <mergeCell ref="A134:C134"/>
    <mergeCell ref="V134:X134"/>
    <mergeCell ref="A135:C135"/>
    <mergeCell ref="V135:X135"/>
    <mergeCell ref="A136:C136"/>
    <mergeCell ref="V136:X136"/>
    <mergeCell ref="D135:F135"/>
    <mergeCell ref="D134:F134"/>
    <mergeCell ref="D136:F136"/>
    <mergeCell ref="G136:I136"/>
    <mergeCell ref="J137:L137"/>
    <mergeCell ref="M137:O137"/>
    <mergeCell ref="P137:R137"/>
    <mergeCell ref="S137:U137"/>
    <mergeCell ref="J138:L138"/>
    <mergeCell ref="M138:O138"/>
    <mergeCell ref="P138:R138"/>
    <mergeCell ref="S138:U138"/>
    <mergeCell ref="J135:L135"/>
    <mergeCell ref="M135:O135"/>
    <mergeCell ref="P135:R135"/>
    <mergeCell ref="S135:U135"/>
    <mergeCell ref="A132:C132"/>
    <mergeCell ref="V132:X132"/>
    <mergeCell ref="A133:C133"/>
    <mergeCell ref="V133:X133"/>
    <mergeCell ref="D131:F131"/>
    <mergeCell ref="D132:F132"/>
    <mergeCell ref="D133:F133"/>
    <mergeCell ref="J131:L131"/>
    <mergeCell ref="G133:I133"/>
    <mergeCell ref="M131:O131"/>
    <mergeCell ref="V39:X39"/>
    <mergeCell ref="D41:F42"/>
    <mergeCell ref="G38:I38"/>
    <mergeCell ref="A38:C38"/>
    <mergeCell ref="V41:X42"/>
    <mergeCell ref="A131:C131"/>
    <mergeCell ref="V131:X131"/>
    <mergeCell ref="D124:F124"/>
    <mergeCell ref="D125:F125"/>
    <mergeCell ref="D126:F126"/>
    <mergeCell ref="A43:C43"/>
    <mergeCell ref="V43:X43"/>
    <mergeCell ref="A44:C44"/>
    <mergeCell ref="V44:X44"/>
    <mergeCell ref="D43:F43"/>
    <mergeCell ref="D38:F38"/>
    <mergeCell ref="D44:F44"/>
    <mergeCell ref="G39:I39"/>
    <mergeCell ref="V38:X38"/>
    <mergeCell ref="A39:C39"/>
    <mergeCell ref="A70:C70"/>
    <mergeCell ref="V70:X70"/>
    <mergeCell ref="D60:F60"/>
    <mergeCell ref="A34:C34"/>
    <mergeCell ref="A52:C52"/>
    <mergeCell ref="V52:X52"/>
    <mergeCell ref="A53:C53"/>
    <mergeCell ref="V53:X53"/>
    <mergeCell ref="A54:C54"/>
    <mergeCell ref="V54:X54"/>
    <mergeCell ref="D50:F50"/>
    <mergeCell ref="D51:F51"/>
    <mergeCell ref="D52:F52"/>
    <mergeCell ref="V36:X36"/>
    <mergeCell ref="A37:C37"/>
    <mergeCell ref="V37:X37"/>
    <mergeCell ref="A45:C45"/>
    <mergeCell ref="V45:X45"/>
    <mergeCell ref="A46:C46"/>
    <mergeCell ref="V46:X46"/>
    <mergeCell ref="D36:F36"/>
    <mergeCell ref="D37:F37"/>
    <mergeCell ref="D45:F45"/>
    <mergeCell ref="A36:C36"/>
    <mergeCell ref="A47:C47"/>
    <mergeCell ref="V47:X47"/>
    <mergeCell ref="A48:C48"/>
    <mergeCell ref="V48:X48"/>
    <mergeCell ref="A49:C49"/>
    <mergeCell ref="V49:X49"/>
    <mergeCell ref="D49:F49"/>
    <mergeCell ref="D46:F46"/>
    <mergeCell ref="D47:F47"/>
    <mergeCell ref="G54:I54"/>
    <mergeCell ref="D33:F33"/>
    <mergeCell ref="D55:F55"/>
    <mergeCell ref="D32:F32"/>
    <mergeCell ref="A32:C32"/>
    <mergeCell ref="A57:C57"/>
    <mergeCell ref="V57:X57"/>
    <mergeCell ref="A58:C58"/>
    <mergeCell ref="V58:X58"/>
    <mergeCell ref="A59:C59"/>
    <mergeCell ref="V59:X59"/>
    <mergeCell ref="D53:F53"/>
    <mergeCell ref="D54:F54"/>
    <mergeCell ref="D56:F56"/>
    <mergeCell ref="V34:X34"/>
    <mergeCell ref="A35:C35"/>
    <mergeCell ref="V35:X35"/>
    <mergeCell ref="A50:C50"/>
    <mergeCell ref="V50:X50"/>
    <mergeCell ref="A51:C51"/>
    <mergeCell ref="V51:X51"/>
    <mergeCell ref="D34:F34"/>
    <mergeCell ref="D35:F35"/>
    <mergeCell ref="G32:I32"/>
    <mergeCell ref="G33:I33"/>
    <mergeCell ref="G34:I34"/>
    <mergeCell ref="G35:I35"/>
    <mergeCell ref="G36:I36"/>
    <mergeCell ref="G37:I37"/>
    <mergeCell ref="G49:I49"/>
    <mergeCell ref="G50:I50"/>
    <mergeCell ref="G51:I51"/>
    <mergeCell ref="G52:I52"/>
    <mergeCell ref="A68:C68"/>
    <mergeCell ref="V68:X68"/>
    <mergeCell ref="D67:F67"/>
    <mergeCell ref="D62:F62"/>
    <mergeCell ref="D63:F63"/>
    <mergeCell ref="V27:X27"/>
    <mergeCell ref="V30:X30"/>
    <mergeCell ref="A31:C31"/>
    <mergeCell ref="V31:X31"/>
    <mergeCell ref="A60:C60"/>
    <mergeCell ref="V60:X60"/>
    <mergeCell ref="A61:C61"/>
    <mergeCell ref="V61:X61"/>
    <mergeCell ref="D61:F61"/>
    <mergeCell ref="D30:F30"/>
    <mergeCell ref="D31:F31"/>
    <mergeCell ref="V62:X62"/>
    <mergeCell ref="A63:C63"/>
    <mergeCell ref="V63:X63"/>
    <mergeCell ref="A64:C64"/>
    <mergeCell ref="V64:X64"/>
    <mergeCell ref="D57:F57"/>
    <mergeCell ref="D58:F58"/>
    <mergeCell ref="G60:I60"/>
    <mergeCell ref="G61:I61"/>
    <mergeCell ref="V32:X32"/>
    <mergeCell ref="A33:C33"/>
    <mergeCell ref="V33:X33"/>
    <mergeCell ref="A55:C55"/>
    <mergeCell ref="V55:X55"/>
    <mergeCell ref="A56:C56"/>
    <mergeCell ref="V56:X56"/>
    <mergeCell ref="A71:C71"/>
    <mergeCell ref="V71:X71"/>
    <mergeCell ref="D27:F27"/>
    <mergeCell ref="A69:C69"/>
    <mergeCell ref="V69:X69"/>
    <mergeCell ref="V28:X28"/>
    <mergeCell ref="A29:C29"/>
    <mergeCell ref="D24:F24"/>
    <mergeCell ref="D25:F25"/>
    <mergeCell ref="D68:F68"/>
    <mergeCell ref="A26:C26"/>
    <mergeCell ref="A72:C72"/>
    <mergeCell ref="V72:X72"/>
    <mergeCell ref="D65:F65"/>
    <mergeCell ref="D66:F66"/>
    <mergeCell ref="V26:X26"/>
    <mergeCell ref="A27:C27"/>
    <mergeCell ref="A25:C25"/>
    <mergeCell ref="V25:X25"/>
    <mergeCell ref="V29:X29"/>
    <mergeCell ref="A65:C65"/>
    <mergeCell ref="V65:X65"/>
    <mergeCell ref="A66:C66"/>
    <mergeCell ref="V66:X66"/>
    <mergeCell ref="D28:F28"/>
    <mergeCell ref="A30:C30"/>
    <mergeCell ref="A62:C62"/>
    <mergeCell ref="D26:F26"/>
    <mergeCell ref="D64:F64"/>
    <mergeCell ref="A28:C28"/>
    <mergeCell ref="A67:C67"/>
    <mergeCell ref="V67:X67"/>
    <mergeCell ref="A83:C83"/>
    <mergeCell ref="V83:X83"/>
    <mergeCell ref="A84:C84"/>
    <mergeCell ref="V84:X84"/>
    <mergeCell ref="D83:F83"/>
    <mergeCell ref="D81:F82"/>
    <mergeCell ref="V81:X82"/>
    <mergeCell ref="A77:C77"/>
    <mergeCell ref="V77:X77"/>
    <mergeCell ref="A75:C75"/>
    <mergeCell ref="V75:X75"/>
    <mergeCell ref="A76:C76"/>
    <mergeCell ref="V76:X76"/>
    <mergeCell ref="A73:C73"/>
    <mergeCell ref="V73:X73"/>
    <mergeCell ref="A74:C74"/>
    <mergeCell ref="V74:X74"/>
    <mergeCell ref="A78:C78"/>
    <mergeCell ref="V78:X78"/>
    <mergeCell ref="A79:C79"/>
    <mergeCell ref="V79:X79"/>
    <mergeCell ref="G76:I76"/>
    <mergeCell ref="G77:I77"/>
    <mergeCell ref="G78:I78"/>
    <mergeCell ref="G79:I79"/>
    <mergeCell ref="G81:I82"/>
    <mergeCell ref="G83:I83"/>
    <mergeCell ref="J78:L78"/>
    <mergeCell ref="M78:O78"/>
    <mergeCell ref="P78:R78"/>
    <mergeCell ref="S78:U78"/>
    <mergeCell ref="J79:L79"/>
    <mergeCell ref="V92:X92"/>
    <mergeCell ref="A93:C93"/>
    <mergeCell ref="V93:X93"/>
    <mergeCell ref="D95:F95"/>
    <mergeCell ref="A89:C89"/>
    <mergeCell ref="V89:X89"/>
    <mergeCell ref="D89:F89"/>
    <mergeCell ref="D76:F76"/>
    <mergeCell ref="D77:F77"/>
    <mergeCell ref="V20:X20"/>
    <mergeCell ref="A21:C21"/>
    <mergeCell ref="V21:X21"/>
    <mergeCell ref="A85:C85"/>
    <mergeCell ref="V85:X85"/>
    <mergeCell ref="D78:F78"/>
    <mergeCell ref="A20:C20"/>
    <mergeCell ref="A87:C87"/>
    <mergeCell ref="V87:X87"/>
    <mergeCell ref="A88:C88"/>
    <mergeCell ref="V88:X88"/>
    <mergeCell ref="A86:C86"/>
    <mergeCell ref="V86:X86"/>
    <mergeCell ref="D20:F20"/>
    <mergeCell ref="D74:F74"/>
    <mergeCell ref="G30:I30"/>
    <mergeCell ref="V22:X22"/>
    <mergeCell ref="A23:C23"/>
    <mergeCell ref="V23:X23"/>
    <mergeCell ref="G28:I28"/>
    <mergeCell ref="A22:C22"/>
    <mergeCell ref="A24:C24"/>
    <mergeCell ref="V24:X24"/>
    <mergeCell ref="D87:F87"/>
    <mergeCell ref="D88:F88"/>
    <mergeCell ref="D90:F90"/>
    <mergeCell ref="A91:C91"/>
    <mergeCell ref="V91:X91"/>
    <mergeCell ref="A90:C90"/>
    <mergeCell ref="V90:X90"/>
    <mergeCell ref="V14:X14"/>
    <mergeCell ref="A15:C15"/>
    <mergeCell ref="V15:X15"/>
    <mergeCell ref="A100:C100"/>
    <mergeCell ref="V100:X100"/>
    <mergeCell ref="D14:F14"/>
    <mergeCell ref="D91:F91"/>
    <mergeCell ref="A16:C16"/>
    <mergeCell ref="A97:C97"/>
    <mergeCell ref="V97:X97"/>
    <mergeCell ref="A94:C94"/>
    <mergeCell ref="V94:X94"/>
    <mergeCell ref="D84:F84"/>
    <mergeCell ref="D85:F85"/>
    <mergeCell ref="D86:F86"/>
    <mergeCell ref="V18:X18"/>
    <mergeCell ref="A19:C19"/>
    <mergeCell ref="V19:X19"/>
    <mergeCell ref="V16:X16"/>
    <mergeCell ref="A17:C17"/>
    <mergeCell ref="V17:X17"/>
    <mergeCell ref="A95:C95"/>
    <mergeCell ref="V95:X95"/>
    <mergeCell ref="A18:C18"/>
    <mergeCell ref="A92:C92"/>
    <mergeCell ref="A105:C105"/>
    <mergeCell ref="V110:X110"/>
    <mergeCell ref="D11:F11"/>
    <mergeCell ref="D99:F99"/>
    <mergeCell ref="A12:C12"/>
    <mergeCell ref="A107:C107"/>
    <mergeCell ref="V107:X107"/>
    <mergeCell ref="A108:C108"/>
    <mergeCell ref="V108:X108"/>
    <mergeCell ref="A106:C106"/>
    <mergeCell ref="V106:X106"/>
    <mergeCell ref="A104:C104"/>
    <mergeCell ref="V104:X104"/>
    <mergeCell ref="D92:F92"/>
    <mergeCell ref="D93:F93"/>
    <mergeCell ref="D94:F94"/>
    <mergeCell ref="A98:C98"/>
    <mergeCell ref="V98:X98"/>
    <mergeCell ref="A96:C96"/>
    <mergeCell ref="V96:X96"/>
    <mergeCell ref="V105:X105"/>
    <mergeCell ref="D13:F13"/>
    <mergeCell ref="D96:F96"/>
    <mergeCell ref="A14:C14"/>
    <mergeCell ref="A102:C102"/>
    <mergeCell ref="V102:X102"/>
    <mergeCell ref="A103:C103"/>
    <mergeCell ref="V103:X103"/>
    <mergeCell ref="A101:C101"/>
    <mergeCell ref="V101:X101"/>
    <mergeCell ref="A99:C99"/>
    <mergeCell ref="V99:X99"/>
    <mergeCell ref="V116:X116"/>
    <mergeCell ref="J116:L116"/>
    <mergeCell ref="M116:O116"/>
    <mergeCell ref="P116:R116"/>
    <mergeCell ref="S116:U116"/>
    <mergeCell ref="A114:C114"/>
    <mergeCell ref="V114:X114"/>
    <mergeCell ref="D113:F113"/>
    <mergeCell ref="D100:F100"/>
    <mergeCell ref="D102:F102"/>
    <mergeCell ref="V10:X10"/>
    <mergeCell ref="A11:C11"/>
    <mergeCell ref="V11:X11"/>
    <mergeCell ref="A110:C110"/>
    <mergeCell ref="V115:X115"/>
    <mergeCell ref="D103:F103"/>
    <mergeCell ref="D104:F104"/>
    <mergeCell ref="A10:C10"/>
    <mergeCell ref="A112:C112"/>
    <mergeCell ref="V112:X112"/>
    <mergeCell ref="A113:C113"/>
    <mergeCell ref="V113:X113"/>
    <mergeCell ref="A111:C111"/>
    <mergeCell ref="V111:X111"/>
    <mergeCell ref="A109:C109"/>
    <mergeCell ref="V109:X109"/>
    <mergeCell ref="D107:F107"/>
    <mergeCell ref="D97:F97"/>
    <mergeCell ref="D98:F98"/>
    <mergeCell ref="V12:X12"/>
    <mergeCell ref="A13:C13"/>
    <mergeCell ref="V13:X13"/>
    <mergeCell ref="A130:C130"/>
    <mergeCell ref="V130:X130"/>
    <mergeCell ref="D115:F115"/>
    <mergeCell ref="D116:F116"/>
    <mergeCell ref="D117:F117"/>
    <mergeCell ref="D118:F118"/>
    <mergeCell ref="A129:C129"/>
    <mergeCell ref="V129:X129"/>
    <mergeCell ref="D129:F129"/>
    <mergeCell ref="A125:C125"/>
    <mergeCell ref="V6:X6"/>
    <mergeCell ref="A7:C7"/>
    <mergeCell ref="V7:X7"/>
    <mergeCell ref="D121:F122"/>
    <mergeCell ref="G29:I29"/>
    <mergeCell ref="A6:C6"/>
    <mergeCell ref="V121:X122"/>
    <mergeCell ref="D7:F7"/>
    <mergeCell ref="G31:I31"/>
    <mergeCell ref="A8:C8"/>
    <mergeCell ref="V125:X125"/>
    <mergeCell ref="A126:C126"/>
    <mergeCell ref="V126:X126"/>
    <mergeCell ref="D109:F109"/>
    <mergeCell ref="D110:F110"/>
    <mergeCell ref="D111:F111"/>
    <mergeCell ref="A123:C123"/>
    <mergeCell ref="V123:X123"/>
    <mergeCell ref="A124:C124"/>
    <mergeCell ref="A119:C119"/>
    <mergeCell ref="V119:X119"/>
    <mergeCell ref="D105:F105"/>
    <mergeCell ref="V1:X2"/>
    <mergeCell ref="A3:C3"/>
    <mergeCell ref="V3:X3"/>
    <mergeCell ref="V5:X5"/>
    <mergeCell ref="D3:F3"/>
    <mergeCell ref="P4:R4"/>
    <mergeCell ref="S4:U4"/>
    <mergeCell ref="A4:C4"/>
    <mergeCell ref="V4:X4"/>
    <mergeCell ref="A5:C5"/>
    <mergeCell ref="A127:C127"/>
    <mergeCell ref="V127:X127"/>
    <mergeCell ref="A128:C128"/>
    <mergeCell ref="V128:X128"/>
    <mergeCell ref="D112:F112"/>
    <mergeCell ref="D114:F114"/>
    <mergeCell ref="V124:X124"/>
    <mergeCell ref="A121:C121"/>
    <mergeCell ref="A122:C122"/>
    <mergeCell ref="D123:F123"/>
    <mergeCell ref="J5:L5"/>
    <mergeCell ref="D106:F106"/>
    <mergeCell ref="D108:F108"/>
    <mergeCell ref="V8:X8"/>
    <mergeCell ref="A9:C9"/>
    <mergeCell ref="V9:X9"/>
    <mergeCell ref="A115:C115"/>
    <mergeCell ref="A117:C117"/>
    <mergeCell ref="V117:X117"/>
    <mergeCell ref="A118:C118"/>
    <mergeCell ref="V118:X118"/>
    <mergeCell ref="A116:C116"/>
  </mergeCells>
  <conditionalFormatting sqref="A2:C2">
    <cfRule type="cellIs" dxfId="19" priority="30" stopIfTrue="1" operator="equal">
      <formula>0</formula>
    </cfRule>
  </conditionalFormatting>
  <conditionalFormatting sqref="A42:C42">
    <cfRule type="cellIs" dxfId="18" priority="29" stopIfTrue="1" operator="equal">
      <formula>0</formula>
    </cfRule>
  </conditionalFormatting>
  <conditionalFormatting sqref="A82:C82">
    <cfRule type="cellIs" dxfId="17" priority="28" stopIfTrue="1" operator="equal">
      <formula>0</formula>
    </cfRule>
  </conditionalFormatting>
  <conditionalFormatting sqref="A122:C122">
    <cfRule type="cellIs" dxfId="16" priority="27" stopIfTrue="1" operator="equal">
      <formula>0</formula>
    </cfRule>
  </conditionalFormatting>
  <conditionalFormatting sqref="A162:C162">
    <cfRule type="cellIs" dxfId="15" priority="26" stopIfTrue="1" operator="equal">
      <formula>0</formula>
    </cfRule>
  </conditionalFormatting>
  <conditionalFormatting sqref="A202:C202">
    <cfRule type="cellIs" dxfId="14" priority="25" stopIfTrue="1" operator="equal">
      <formula>0</formula>
    </cfRule>
  </conditionalFormatting>
  <conditionalFormatting sqref="A242:C242">
    <cfRule type="cellIs" dxfId="13" priority="24" stopIfTrue="1" operator="equal">
      <formula>0</formula>
    </cfRule>
  </conditionalFormatting>
  <conditionalFormatting sqref="A282:C282">
    <cfRule type="cellIs" dxfId="12" priority="23" stopIfTrue="1" operator="equal">
      <formula>0</formula>
    </cfRule>
  </conditionalFormatting>
  <conditionalFormatting sqref="A322:C322">
    <cfRule type="cellIs" dxfId="11" priority="22" stopIfTrue="1" operator="equal">
      <formula>0</formula>
    </cfRule>
  </conditionalFormatting>
  <conditionalFormatting sqref="A362">
    <cfRule type="cellIs" dxfId="10" priority="2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30" orientation="portrait" r:id="rId1"/>
  <headerFooter>
    <oddHeader>&amp;LINTERREG V/A
Greece – Italy 2014-2020&amp;R&amp;A</oddHeader>
    <oddFooter>&amp;LJustification of the budget&amp;R&amp;P from &amp;N</oddFooter>
  </headerFooter>
  <rowBreaks count="9" manualBreakCount="9">
    <brk id="39" max="16383" man="1"/>
    <brk id="79" max="16383" man="1"/>
    <brk id="119" max="16383" man="1"/>
    <brk id="159" max="16383" man="1"/>
    <brk id="199" max="16383" man="1"/>
    <brk id="239" max="16383" man="1"/>
    <brk id="279" max="16383" man="1"/>
    <brk id="319" max="16383" man="1"/>
    <brk id="35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48"/>
  <sheetViews>
    <sheetView topLeftCell="A16" zoomScale="130" zoomScaleNormal="130" zoomScaleSheetLayoutView="85" workbookViewId="0">
      <selection activeCell="G62" sqref="G62"/>
    </sheetView>
  </sheetViews>
  <sheetFormatPr defaultRowHeight="15"/>
  <cols>
    <col min="1" max="1" width="7.5703125" style="34" customWidth="1"/>
    <col min="2" max="2" width="13" style="34" customWidth="1"/>
    <col min="3" max="3" width="13" style="34" hidden="1" customWidth="1"/>
    <col min="4" max="10" width="13" style="34" customWidth="1"/>
    <col min="11" max="16384" width="9.140625" style="34"/>
  </cols>
  <sheetData>
    <row r="1" spans="1:10" ht="36">
      <c r="B1" s="39"/>
      <c r="C1" s="39"/>
      <c r="D1" s="40" t="s">
        <v>23</v>
      </c>
      <c r="E1" s="41" t="s">
        <v>24</v>
      </c>
      <c r="F1" s="41" t="s">
        <v>474</v>
      </c>
      <c r="G1" s="41" t="s">
        <v>25</v>
      </c>
      <c r="H1" s="41" t="s">
        <v>26</v>
      </c>
      <c r="I1" s="41" t="s">
        <v>406</v>
      </c>
      <c r="J1" s="42" t="s">
        <v>422</v>
      </c>
    </row>
    <row r="2" spans="1:10">
      <c r="B2" s="46" t="s">
        <v>27</v>
      </c>
      <c r="C2" s="43"/>
      <c r="D2" s="44">
        <f>'AF-Tables'!D3+'AF-Tables'!D43+'AF-Tables'!D83+'AF-Tables'!D123+'AF-Tables'!D163+'AF-Tables'!D203+'AF-Tables'!D243+'AF-Tables'!D283+'AF-Tables'!D323+'AF-Tables'!D363</f>
        <v>0</v>
      </c>
      <c r="E2" s="44">
        <f>'AF-Tables'!G3+'AF-Tables'!G43+'AF-Tables'!G83+'AF-Tables'!G123+'AF-Tables'!G163+'AF-Tables'!G203+'AF-Tables'!G243+'AF-Tables'!G283+'AF-Tables'!G323+'AF-Tables'!G363</f>
        <v>0</v>
      </c>
      <c r="F2" s="44">
        <f>'AF-Tables'!J3+'AF-Tables'!J43+'AF-Tables'!J83+'AF-Tables'!J123+'AF-Tables'!J163+'AF-Tables'!J203+'AF-Tables'!J243+'AF-Tables'!J283+'AF-Tables'!J323+'AF-Tables'!J363</f>
        <v>0</v>
      </c>
      <c r="G2" s="44">
        <f>'AF-Tables'!M3+'AF-Tables'!M43+'AF-Tables'!M83+'AF-Tables'!M123+'AF-Tables'!M163+'AF-Tables'!M203+'AF-Tables'!M243+'AF-Tables'!M283+'AF-Tables'!M323+'AF-Tables'!M363</f>
        <v>0</v>
      </c>
      <c r="H2" s="44">
        <f>'AF-Tables'!P3+'AF-Tables'!P43+'AF-Tables'!P83+'AF-Tables'!P123+'AF-Tables'!P163+'AF-Tables'!P203+'AF-Tables'!P243+'AF-Tables'!P283+'AF-Tables'!P323+'AF-Tables'!P363</f>
        <v>0</v>
      </c>
      <c r="I2" s="44">
        <f>'AF-Tables'!S3+'AF-Tables'!S43+'AF-Tables'!S83+'AF-Tables'!S123+'AF-Tables'!S163+'AF-Tables'!S203+'AF-Tables'!S243+'AF-Tables'!S283+'AF-Tables'!S323+'AF-Tables'!S363</f>
        <v>0</v>
      </c>
      <c r="J2" s="45">
        <f t="shared" ref="J2:J7" si="0">SUM(D2:I2)</f>
        <v>0</v>
      </c>
    </row>
    <row r="3" spans="1:10">
      <c r="B3" s="46" t="s">
        <v>28</v>
      </c>
      <c r="C3" s="43"/>
      <c r="D3" s="44">
        <f>'AF-Tables'!D9+'AF-Tables'!D49+'AF-Tables'!D89+'AF-Tables'!D129+'AF-Tables'!D169+'AF-Tables'!D209+'AF-Tables'!D249+'AF-Tables'!D289+'AF-Tables'!D329+'AF-Tables'!D369</f>
        <v>0</v>
      </c>
      <c r="E3" s="44">
        <f>'AF-Tables'!G9+'AF-Tables'!G49+'AF-Tables'!G89+'AF-Tables'!G129+'AF-Tables'!G169+'AF-Tables'!G209+'AF-Tables'!G249+'AF-Tables'!G289+'AF-Tables'!G329+'AF-Tables'!G369</f>
        <v>0</v>
      </c>
      <c r="F3" s="44">
        <f>'AF-Tables'!J9+'AF-Tables'!J49+'AF-Tables'!J89+'AF-Tables'!J129+'AF-Tables'!J169+'AF-Tables'!J209+'AF-Tables'!J249+'AF-Tables'!J289+'AF-Tables'!J329+'AF-Tables'!J369</f>
        <v>0</v>
      </c>
      <c r="G3" s="44">
        <f>'AF-Tables'!M9+'AF-Tables'!M49+'AF-Tables'!M89+'AF-Tables'!M129+'AF-Tables'!M169+'AF-Tables'!M209+'AF-Tables'!M249+'AF-Tables'!M289+'AF-Tables'!M329+'AF-Tables'!M369</f>
        <v>0</v>
      </c>
      <c r="H3" s="44">
        <f>'AF-Tables'!P9+'AF-Tables'!P49+'AF-Tables'!P89+'AF-Tables'!P129+'AF-Tables'!P169+'AF-Tables'!P209+'AF-Tables'!P249+'AF-Tables'!P289+'AF-Tables'!P329+'AF-Tables'!P369</f>
        <v>0</v>
      </c>
      <c r="I3" s="44">
        <f>'AF-Tables'!S9+'AF-Tables'!S49+'AF-Tables'!S89+'AF-Tables'!S129+'AF-Tables'!S169+'AF-Tables'!S209+'AF-Tables'!S249+'AF-Tables'!S289+'AF-Tables'!S329+'AF-Tables'!S369</f>
        <v>0</v>
      </c>
      <c r="J3" s="45">
        <f t="shared" si="0"/>
        <v>0</v>
      </c>
    </row>
    <row r="4" spans="1:10">
      <c r="B4" s="46" t="s">
        <v>29</v>
      </c>
      <c r="C4" s="43"/>
      <c r="D4" s="44">
        <f>'AF-Tables'!D15+'AF-Tables'!D55+'AF-Tables'!D95+'AF-Tables'!D135+'AF-Tables'!D175+'AF-Tables'!D215+'AF-Tables'!D255+'AF-Tables'!D295+'AF-Tables'!D335+'AF-Tables'!D375</f>
        <v>0</v>
      </c>
      <c r="E4" s="44">
        <f>'AF-Tables'!G15+'AF-Tables'!G55+'AF-Tables'!G95+'AF-Tables'!G135+'AF-Tables'!G175+'AF-Tables'!G215+'AF-Tables'!G255+'AF-Tables'!G295+'AF-Tables'!G335+'AF-Tables'!G375</f>
        <v>0</v>
      </c>
      <c r="F4" s="44">
        <f>'AF-Tables'!J15+'AF-Tables'!J55+'AF-Tables'!J95+'AF-Tables'!J135+'AF-Tables'!J175+'AF-Tables'!J215+'AF-Tables'!J255+'AF-Tables'!J295+'AF-Tables'!J335+'AF-Tables'!J375</f>
        <v>0</v>
      </c>
      <c r="G4" s="44">
        <f>'AF-Tables'!M15+'AF-Tables'!M55+'AF-Tables'!M95+'AF-Tables'!M135+'AF-Tables'!M175+'AF-Tables'!M215+'AF-Tables'!M255+'AF-Tables'!M295+'AF-Tables'!M335+'AF-Tables'!M375</f>
        <v>0</v>
      </c>
      <c r="H4" s="44">
        <f>'AF-Tables'!P15+'AF-Tables'!P55+'AF-Tables'!P95+'AF-Tables'!P135+'AF-Tables'!P175+'AF-Tables'!P215+'AF-Tables'!P255+'AF-Tables'!P295+'AF-Tables'!P335+'AF-Tables'!P375</f>
        <v>0</v>
      </c>
      <c r="I4" s="44">
        <f>'AF-Tables'!S15+'AF-Tables'!S55+'AF-Tables'!S95+'AF-Tables'!S135+'AF-Tables'!S175+'AF-Tables'!S215+'AF-Tables'!S255+'AF-Tables'!S295+'AF-Tables'!S335+'AF-Tables'!S375</f>
        <v>0</v>
      </c>
      <c r="J4" s="45">
        <f t="shared" si="0"/>
        <v>0</v>
      </c>
    </row>
    <row r="5" spans="1:10">
      <c r="B5" s="46" t="s">
        <v>30</v>
      </c>
      <c r="C5" s="43"/>
      <c r="D5" s="44">
        <f>'AF-Tables'!D21+'AF-Tables'!D61+'AF-Tables'!D101+'AF-Tables'!D141+'AF-Tables'!D181+'AF-Tables'!D221+'AF-Tables'!D261+'AF-Tables'!D301+'AF-Tables'!D341+'AF-Tables'!D381</f>
        <v>0</v>
      </c>
      <c r="E5" s="44">
        <f>'AF-Tables'!G21+'AF-Tables'!G61+'AF-Tables'!G101+'AF-Tables'!G141+'AF-Tables'!G181+'AF-Tables'!G221+'AF-Tables'!G261+'AF-Tables'!G301+'AF-Tables'!G341+'AF-Tables'!G381</f>
        <v>0</v>
      </c>
      <c r="F5" s="44">
        <f>'AF-Tables'!J21+'AF-Tables'!J61+'AF-Tables'!J101+'AF-Tables'!J141+'AF-Tables'!J181+'AF-Tables'!J221+'AF-Tables'!J261+'AF-Tables'!J301+'AF-Tables'!J341+'AF-Tables'!J381</f>
        <v>0</v>
      </c>
      <c r="G5" s="44">
        <f>'AF-Tables'!M21+'AF-Tables'!M61+'AF-Tables'!M101+'AF-Tables'!M141+'AF-Tables'!M181+'AF-Tables'!M221+'AF-Tables'!M261+'AF-Tables'!M301+'AF-Tables'!M341+'AF-Tables'!M381</f>
        <v>0</v>
      </c>
      <c r="H5" s="44">
        <f>'AF-Tables'!P21+'AF-Tables'!P61+'AF-Tables'!P101+'AF-Tables'!P141+'AF-Tables'!P181+'AF-Tables'!P221+'AF-Tables'!P261+'AF-Tables'!P301+'AF-Tables'!P341+'AF-Tables'!P381</f>
        <v>0</v>
      </c>
      <c r="I5" s="44">
        <f>'AF-Tables'!S21+'AF-Tables'!S61+'AF-Tables'!S101+'AF-Tables'!S141+'AF-Tables'!S181+'AF-Tables'!S221+'AF-Tables'!S261+'AF-Tables'!S301+'AF-Tables'!S341+'AF-Tables'!S381</f>
        <v>0</v>
      </c>
      <c r="J5" s="45">
        <f t="shared" si="0"/>
        <v>0</v>
      </c>
    </row>
    <row r="6" spans="1:10">
      <c r="B6" s="46" t="s">
        <v>31</v>
      </c>
      <c r="C6" s="43"/>
      <c r="D6" s="44">
        <f>'AF-Tables'!D27+'AF-Tables'!D67+'AF-Tables'!D107+'AF-Tables'!D147+'AF-Tables'!D187+'AF-Tables'!D227+'AF-Tables'!D267+'AF-Tables'!D307+'AF-Tables'!D347+'AF-Tables'!D387</f>
        <v>0</v>
      </c>
      <c r="E6" s="44">
        <f>'AF-Tables'!G27+'AF-Tables'!G67+'AF-Tables'!G107+'AF-Tables'!G147+'AF-Tables'!G187+'AF-Tables'!G227+'AF-Tables'!G267+'AF-Tables'!G307+'AF-Tables'!G347+'AF-Tables'!G387</f>
        <v>0</v>
      </c>
      <c r="F6" s="44">
        <f>'AF-Tables'!J27+'AF-Tables'!J67+'AF-Tables'!J107+'AF-Tables'!J147+'AF-Tables'!J187+'AF-Tables'!J227+'AF-Tables'!J267+'AF-Tables'!J307+'AF-Tables'!J347+'AF-Tables'!J387</f>
        <v>0</v>
      </c>
      <c r="G6" s="44">
        <f>'AF-Tables'!M27+'AF-Tables'!M67+'AF-Tables'!M107+'AF-Tables'!M147+'AF-Tables'!M187+'AF-Tables'!M227+'AF-Tables'!M267+'AF-Tables'!M307+'AF-Tables'!M347+'AF-Tables'!M387</f>
        <v>0</v>
      </c>
      <c r="H6" s="44">
        <f>'AF-Tables'!P27+'AF-Tables'!P67+'AF-Tables'!P107+'AF-Tables'!P147+'AF-Tables'!P187+'AF-Tables'!P227+'AF-Tables'!P267+'AF-Tables'!P307+'AF-Tables'!P347+'AF-Tables'!P387</f>
        <v>0</v>
      </c>
      <c r="I6" s="44">
        <f>'AF-Tables'!S27+'AF-Tables'!S67+'AF-Tables'!S107+'AF-Tables'!S147+'AF-Tables'!S187+'AF-Tables'!S227+'AF-Tables'!S267+'AF-Tables'!S307+'AF-Tables'!S347+'AF-Tables'!S387</f>
        <v>0</v>
      </c>
      <c r="J6" s="45">
        <f t="shared" si="0"/>
        <v>0</v>
      </c>
    </row>
    <row r="7" spans="1:10">
      <c r="B7" s="46" t="s">
        <v>32</v>
      </c>
      <c r="C7" s="43"/>
      <c r="D7" s="44">
        <f>'AF-Tables'!D33+'AF-Tables'!D73+'AF-Tables'!D113+'AF-Tables'!D153+'AF-Tables'!D193+'AF-Tables'!D233+'AF-Tables'!D273+'AF-Tables'!D313+'AF-Tables'!D353+'AF-Tables'!D393</f>
        <v>0</v>
      </c>
      <c r="E7" s="44">
        <f>'AF-Tables'!G33+'AF-Tables'!G73+'AF-Tables'!G113+'AF-Tables'!G153+'AF-Tables'!G193+'AF-Tables'!G233+'AF-Tables'!G273+'AF-Tables'!G313+'AF-Tables'!G353+'AF-Tables'!G393</f>
        <v>0</v>
      </c>
      <c r="F7" s="44">
        <f>'AF-Tables'!J33+'AF-Tables'!J73+'AF-Tables'!J113+'AF-Tables'!J153+'AF-Tables'!J193+'AF-Tables'!J233+'AF-Tables'!J273+'AF-Tables'!J313+'AF-Tables'!J353+'AF-Tables'!J393</f>
        <v>0</v>
      </c>
      <c r="G7" s="44">
        <f>'AF-Tables'!M33+'AF-Tables'!M73+'AF-Tables'!M113+'AF-Tables'!M153+'AF-Tables'!M193+'AF-Tables'!M233+'AF-Tables'!M273+'AF-Tables'!M313+'AF-Tables'!M353+'AF-Tables'!M393</f>
        <v>0</v>
      </c>
      <c r="H7" s="44">
        <f>'AF-Tables'!P33+'AF-Tables'!P73+'AF-Tables'!P113+'AF-Tables'!P153+'AF-Tables'!P193+'AF-Tables'!P233+'AF-Tables'!P273+'AF-Tables'!P313+'AF-Tables'!P353+'AF-Tables'!P393</f>
        <v>0</v>
      </c>
      <c r="I7" s="44">
        <f>'AF-Tables'!S33+'AF-Tables'!S73+'AF-Tables'!S113+'AF-Tables'!S153+'AF-Tables'!S193+'AF-Tables'!S233+'AF-Tables'!S273+'AF-Tables'!S313+'AF-Tables'!S353+'AF-Tables'!S393</f>
        <v>0</v>
      </c>
      <c r="J7" s="45">
        <f t="shared" si="0"/>
        <v>0</v>
      </c>
    </row>
    <row r="8" spans="1:10">
      <c r="B8" s="46" t="s">
        <v>422</v>
      </c>
      <c r="C8" s="43"/>
      <c r="D8" s="45">
        <f>SUM(D2:D7)</f>
        <v>0</v>
      </c>
      <c r="E8" s="45">
        <f t="shared" ref="E8:J8" si="1">SUM(E2:E7)</f>
        <v>0</v>
      </c>
      <c r="F8" s="45">
        <f t="shared" si="1"/>
        <v>0</v>
      </c>
      <c r="G8" s="45">
        <f t="shared" si="1"/>
        <v>0</v>
      </c>
      <c r="H8" s="45">
        <f t="shared" si="1"/>
        <v>0</v>
      </c>
      <c r="I8" s="45">
        <f t="shared" si="1"/>
        <v>0</v>
      </c>
      <c r="J8" s="45">
        <f t="shared" si="1"/>
        <v>0</v>
      </c>
    </row>
    <row r="11" spans="1:10" ht="37.5" customHeight="1">
      <c r="A11" s="39"/>
      <c r="B11" s="39"/>
      <c r="C11" s="39"/>
      <c r="D11" s="40" t="s">
        <v>23</v>
      </c>
      <c r="E11" s="41" t="s">
        <v>24</v>
      </c>
      <c r="F11" s="41" t="s">
        <v>474</v>
      </c>
      <c r="G11" s="41" t="s">
        <v>25</v>
      </c>
      <c r="H11" s="41" t="s">
        <v>26</v>
      </c>
      <c r="I11" s="41" t="s">
        <v>406</v>
      </c>
      <c r="J11" s="43" t="s">
        <v>422</v>
      </c>
    </row>
    <row r="12" spans="1:10" ht="38.25" customHeight="1">
      <c r="B12" s="46" t="s">
        <v>505</v>
      </c>
      <c r="C12" s="46">
        <f>'Cover page'!G22</f>
        <v>0</v>
      </c>
      <c r="D12" s="44">
        <f>SUMIF('LB (PB1)'!$C3:$C201,"Staff Costs",'LB (PB1)'!$I3:$I201)</f>
        <v>0</v>
      </c>
      <c r="E12" s="44">
        <f>SUMIF('LB (PB1)'!$C3:$C201,"Office and Administration",'LB (PB1)'!$I3:$I201)</f>
        <v>0</v>
      </c>
      <c r="F12" s="44">
        <f>SUMIF('LB (PB1)'!$C3:$C201,"Travel and accommodation",'LB (PB1)'!$I3:$I201)</f>
        <v>0</v>
      </c>
      <c r="G12" s="44">
        <f>SUMIF('LB (PB1)'!$C3:$C201,"External Expertise and Services",'LB (PB1)'!$I3:$I201)</f>
        <v>0</v>
      </c>
      <c r="H12" s="44">
        <f>SUMIF('LB (PB1)'!$C3:$C201,"Equipment",'LB (PB1)'!$I3:$I201)</f>
        <v>0</v>
      </c>
      <c r="I12" s="44">
        <f>SUMIF('LB (PB1)'!$C3:$C201,"Infrastructure and Works",'LB (PB1)'!$I3:$I201)</f>
        <v>0</v>
      </c>
      <c r="J12" s="45">
        <f>SUM(D12:I12)</f>
        <v>0</v>
      </c>
    </row>
    <row r="13" spans="1:10">
      <c r="B13" s="46" t="s">
        <v>496</v>
      </c>
      <c r="C13" s="46">
        <f>'Cover page'!G23</f>
        <v>0</v>
      </c>
      <c r="D13" s="44">
        <f>SUMIF('PB2'!$C3:$C201,"Staff Costs",'PB2'!$I3:$I201)</f>
        <v>0</v>
      </c>
      <c r="E13" s="44">
        <f>SUMIF('PB2'!$C3:$C201,"Office and Administration",'PB2'!$I3:$I201)</f>
        <v>0</v>
      </c>
      <c r="F13" s="44">
        <f>SUMIF('PB2'!$C3:$C201,"Travel and accommodation",'PB2'!$I3:$I201)</f>
        <v>0</v>
      </c>
      <c r="G13" s="44">
        <f>SUMIF('PB2'!$C3:$C201,"External Expertise and Services",'PB2'!$I3:$I201)</f>
        <v>0</v>
      </c>
      <c r="H13" s="44">
        <f>SUMIF('PB2'!$C3:$C201,"Equipment",'PB2'!$I3:$I201)</f>
        <v>0</v>
      </c>
      <c r="I13" s="44">
        <f>SUMIF('PB2'!$C3:$C201,"Infrastructure and Works",'PB2'!$I3:$I201)</f>
        <v>0</v>
      </c>
      <c r="J13" s="45">
        <f t="shared" ref="J13:J22" si="2">SUM(D13:I13)</f>
        <v>0</v>
      </c>
    </row>
    <row r="14" spans="1:10">
      <c r="B14" s="46" t="s">
        <v>497</v>
      </c>
      <c r="C14" s="46">
        <f>'Cover page'!G24</f>
        <v>0</v>
      </c>
      <c r="D14" s="44">
        <f>SUMIF('PB3'!$C3:$C201,"Staff Costs",'PB3'!$I3:$I201)</f>
        <v>0</v>
      </c>
      <c r="E14" s="44">
        <f>SUMIF('PB3'!$C3:$C201,"Office and Administration",'PB3'!$I3:$I201)</f>
        <v>0</v>
      </c>
      <c r="F14" s="44">
        <f>SUMIF('PB3'!$C3:$C201,"Travel and accommodation",'PB3'!$I3:$I201)</f>
        <v>0</v>
      </c>
      <c r="G14" s="44">
        <f>SUMIF('PB3'!$C3:$C201,"External Expertise and Services",'PB3'!$I3:$I201)</f>
        <v>0</v>
      </c>
      <c r="H14" s="44">
        <f>SUMIF('PB3'!$C3:$C201,"Equipment",'PB3'!$I3:$I201)</f>
        <v>0</v>
      </c>
      <c r="I14" s="44">
        <f>SUMIF('PB3'!$C3:$C201,"Infrastructure and Works",'PB3'!$I3:$I201)</f>
        <v>0</v>
      </c>
      <c r="J14" s="45">
        <f t="shared" si="2"/>
        <v>0</v>
      </c>
    </row>
    <row r="15" spans="1:10">
      <c r="B15" s="46" t="s">
        <v>498</v>
      </c>
      <c r="C15" s="46">
        <f>'Cover page'!G25</f>
        <v>0</v>
      </c>
      <c r="D15" s="44">
        <f>SUMIF('PB4'!$C3:$C201,"Staff Costs",'PB4'!$I3:$I201)</f>
        <v>0</v>
      </c>
      <c r="E15" s="44">
        <f>SUMIF('PB4'!$C3:$C201,"Office and Administration",'PB4'!$I3:$I201)</f>
        <v>0</v>
      </c>
      <c r="F15" s="44">
        <f>SUMIF('PB4'!$C3:$C201,"Travel and accommodation",'PB4'!$I3:$I201)</f>
        <v>0</v>
      </c>
      <c r="G15" s="44">
        <f>SUMIF('PB4'!$C3:$C201,"External Expertise and Services",'PB4'!$I3:$I201)</f>
        <v>0</v>
      </c>
      <c r="H15" s="44">
        <f>SUMIF('PB4'!$C3:$C201,"Equipment",'PB4'!$I3:$I201)</f>
        <v>0</v>
      </c>
      <c r="I15" s="44">
        <f>SUMIF('PB4'!$C3:$C201,"Infrastructure and Works",'PB4'!$I3:$I201)</f>
        <v>0</v>
      </c>
      <c r="J15" s="45">
        <f t="shared" si="2"/>
        <v>0</v>
      </c>
    </row>
    <row r="16" spans="1:10">
      <c r="B16" s="46" t="s">
        <v>499</v>
      </c>
      <c r="C16" s="46">
        <f>'Cover page'!G26</f>
        <v>0</v>
      </c>
      <c r="D16" s="44">
        <f>SUMIF('PB5'!$C$3:$C$201,"Staff Costs",'PB5'!$I$3:$I$201)</f>
        <v>0</v>
      </c>
      <c r="E16" s="44">
        <f>SUMIF('PB5'!$C$3:$C$201,"Office and Administration",'PB5'!$I$3:$I$201)</f>
        <v>0</v>
      </c>
      <c r="F16" s="44">
        <f>SUMIF('PB5'!$C$3:$C$201,"Travel and accommodation",'PB5'!$I$3:$I$201)</f>
        <v>0</v>
      </c>
      <c r="G16" s="44">
        <f>SUMIF('PB5'!$C$3:$C$201,"External Expertise and Services",'PB5'!$I$3:$I$201)</f>
        <v>0</v>
      </c>
      <c r="H16" s="44">
        <f>SUMIF('PB5'!$C$3:$C$201,"Equipment",'PB5'!$I$3:$I$201)</f>
        <v>0</v>
      </c>
      <c r="I16" s="44">
        <f>SUMIF('PB5'!$C$3:$C$201,"Infrastructure and Works",'PB5'!$I$3:$I$201)</f>
        <v>0</v>
      </c>
      <c r="J16" s="45">
        <f t="shared" si="2"/>
        <v>0</v>
      </c>
    </row>
    <row r="17" spans="1:10">
      <c r="B17" s="46" t="s">
        <v>500</v>
      </c>
      <c r="C17" s="46">
        <f>'Cover page'!G27</f>
        <v>0</v>
      </c>
      <c r="D17" s="44">
        <f>SUMIF('PB6'!$C$3:$C$201,"Staff Costs",'PB6'!$I$3:$I$201)</f>
        <v>0</v>
      </c>
      <c r="E17" s="44">
        <f>SUMIF('PB6'!$C$3:$C$201,"Office and Administration",'PB6'!$I$3:$I$201)</f>
        <v>0</v>
      </c>
      <c r="F17" s="44">
        <f>SUMIF('PB6'!$C$3:$C$201,"Travel and accommodation",'PB6'!$I$3:$I$201)</f>
        <v>0</v>
      </c>
      <c r="G17" s="44">
        <f>SUMIF('PB6'!$C$3:$C$201,"External Expertise and Services",'PB6'!$I$3:$I$201)</f>
        <v>0</v>
      </c>
      <c r="H17" s="44">
        <f>SUMIF('PB6'!$C$3:$C$201,"Equipment",'PB6'!$I$3:$I$201)</f>
        <v>0</v>
      </c>
      <c r="I17" s="44">
        <f>SUMIF('PB6'!$C$3:$C$201,"Infrastructure and Works",'PB6'!$I$3:$I$201)</f>
        <v>0</v>
      </c>
      <c r="J17" s="45">
        <f t="shared" si="2"/>
        <v>0</v>
      </c>
    </row>
    <row r="18" spans="1:10">
      <c r="B18" s="46" t="s">
        <v>501</v>
      </c>
      <c r="C18" s="46">
        <f>'Cover page'!G28</f>
        <v>0</v>
      </c>
      <c r="D18" s="44">
        <f>SUMIF('PB7'!$C$3:$C$201,"Staff Costs",'PB7'!$I$3:$I$201)</f>
        <v>0</v>
      </c>
      <c r="E18" s="44">
        <f>SUMIF('PB7'!$C$3:$C$201,"Office and Administration",'PB7'!$I$3:$I$201)</f>
        <v>0</v>
      </c>
      <c r="F18" s="44">
        <f>SUMIF('PB7'!$C$3:$C$201,"Travel and accommodation",'PB7'!$I$3:$I$201)</f>
        <v>0</v>
      </c>
      <c r="G18" s="44">
        <f>SUMIF('PB7'!$C$3:$C$201,"External Expertise and Services",'PB7'!$I$3:$I$201)</f>
        <v>0</v>
      </c>
      <c r="H18" s="44">
        <f>SUMIF('PB7'!$C$3:$C$201,"Equipment",'PB7'!$I$3:$I$201)</f>
        <v>0</v>
      </c>
      <c r="I18" s="44">
        <f>SUMIF('PB7'!$C$3:$C$201,"Infrastructure and Works",'PB7'!$I$3:$I$201)</f>
        <v>0</v>
      </c>
      <c r="J18" s="45">
        <f t="shared" si="2"/>
        <v>0</v>
      </c>
    </row>
    <row r="19" spans="1:10">
      <c r="B19" s="46" t="s">
        <v>502</v>
      </c>
      <c r="C19" s="46">
        <f>'Cover page'!G29</f>
        <v>0</v>
      </c>
      <c r="D19" s="44">
        <f>SUMIF('PB8'!$C$3:$C$201,"Staff Costs",'PB8'!$I$3:$I$201)</f>
        <v>0</v>
      </c>
      <c r="E19" s="44">
        <f>SUMIF('PB8'!$C$3:$C$201,"Office and Administration",'PB8'!$I$3:$I$201)</f>
        <v>0</v>
      </c>
      <c r="F19" s="44">
        <f>SUMIF('PB8'!$C$3:$C$201,"Travel and accommodation",'PB8'!$I$3:$I$201)</f>
        <v>0</v>
      </c>
      <c r="G19" s="44">
        <f>SUMIF('PB8'!$C$3:$C$201,"External Expertise and Services",'PB8'!$I$3:$I$201)</f>
        <v>0</v>
      </c>
      <c r="H19" s="44">
        <f>SUMIF('PB8'!$C$3:$C$201,"Equipment",'PB8'!$I$3:$I$201)</f>
        <v>0</v>
      </c>
      <c r="I19" s="44">
        <f>SUMIF('PB8'!$C$3:$C$201,"Infrastructure and Works",'PB8'!$I$3:$I$201)</f>
        <v>0</v>
      </c>
      <c r="J19" s="45">
        <f t="shared" si="2"/>
        <v>0</v>
      </c>
    </row>
    <row r="20" spans="1:10">
      <c r="B20" s="46" t="s">
        <v>503</v>
      </c>
      <c r="C20" s="46">
        <f>'Cover page'!G30</f>
        <v>0</v>
      </c>
      <c r="D20" s="44">
        <f>SUMIF('PB9'!$C$3:$C$201,"Staff Costs",'PB9'!$I$3:$I$201)</f>
        <v>0</v>
      </c>
      <c r="E20" s="44">
        <f>SUMIF('PB9'!$C$3:$C$201,"Office and Administration",'PB9'!$I$3:$I$201)</f>
        <v>0</v>
      </c>
      <c r="F20" s="44">
        <f>SUMIF('PB9'!$C$3:$C$201,"Travel and accommodation",'PB9'!$I$3:$I$201)</f>
        <v>0</v>
      </c>
      <c r="G20" s="44">
        <f>SUMIF('PB9'!$C$3:$C$201,"External Expertise and Services",'PB9'!$I$3:$I$201)</f>
        <v>0</v>
      </c>
      <c r="H20" s="44">
        <f>SUMIF('PB9'!$C$3:$C$201,"Equipment",'PB9'!$I$3:$I$201)</f>
        <v>0</v>
      </c>
      <c r="I20" s="44">
        <f>SUMIF('PB9'!$C$3:$C$201,"Infrastructure and Works",'PB9'!$I$3:$I$201)</f>
        <v>0</v>
      </c>
      <c r="J20" s="45">
        <f t="shared" si="2"/>
        <v>0</v>
      </c>
    </row>
    <row r="21" spans="1:10">
      <c r="B21" s="46" t="s">
        <v>504</v>
      </c>
      <c r="C21" s="46">
        <f>'Cover page'!G31</f>
        <v>0</v>
      </c>
      <c r="D21" s="44">
        <f>SUMIF('PB10'!$C$3:$C$201,"Staff Costs",'PB10'!$I$3:$I$201)</f>
        <v>0</v>
      </c>
      <c r="E21" s="44">
        <f>SUMIF('PB10'!$C$3:$C$201,"Office and Administration",'PB10'!$I$3:$I$201)</f>
        <v>0</v>
      </c>
      <c r="F21" s="44">
        <f>SUMIF('PB10'!$C$3:$C$201,"Travel and accommodation",'PB10'!$I$3:$I$201)</f>
        <v>0</v>
      </c>
      <c r="G21" s="44">
        <f>SUMIF('PB10'!$C$3:$C$201,"External Expertise and Services",'PB10'!$I$3:$I$201)</f>
        <v>0</v>
      </c>
      <c r="H21" s="44">
        <f>SUMIF('PB10'!$C$3:$C$201,"Equipment",'PB10'!$I$3:$I$201)</f>
        <v>0</v>
      </c>
      <c r="I21" s="44">
        <f>SUMIF('PB10'!$C$3:$C$201,"Infrastructure and Works",'PB10'!$I$3:$I$201)</f>
        <v>0</v>
      </c>
      <c r="J21" s="45">
        <f t="shared" si="2"/>
        <v>0</v>
      </c>
    </row>
    <row r="22" spans="1:10">
      <c r="B22" s="57" t="s">
        <v>422</v>
      </c>
      <c r="C22" s="45"/>
      <c r="D22" s="45">
        <f t="shared" ref="D22:I22" si="3">SUM(D12:D21)</f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2"/>
        <v>0</v>
      </c>
    </row>
    <row r="25" spans="1:10" ht="36">
      <c r="D25" s="40" t="s">
        <v>23</v>
      </c>
      <c r="E25" s="41" t="s">
        <v>24</v>
      </c>
      <c r="F25" s="41" t="s">
        <v>474</v>
      </c>
      <c r="G25" s="41" t="s">
        <v>25</v>
      </c>
      <c r="H25" s="41" t="s">
        <v>26</v>
      </c>
      <c r="I25" s="41" t="s">
        <v>406</v>
      </c>
      <c r="J25" s="42" t="s">
        <v>422</v>
      </c>
    </row>
    <row r="26" spans="1:10">
      <c r="B26" s="46" t="s">
        <v>18</v>
      </c>
      <c r="C26" s="46"/>
      <c r="D26" s="44">
        <f t="shared" ref="D26:I26" si="4">SUMIF($C$12:$C$21,"Greece",D$12:D$21)</f>
        <v>0</v>
      </c>
      <c r="E26" s="44">
        <f t="shared" si="4"/>
        <v>0</v>
      </c>
      <c r="F26" s="44">
        <f t="shared" si="4"/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5">
        <f>SUM(D26:I26)</f>
        <v>0</v>
      </c>
    </row>
    <row r="27" spans="1:10">
      <c r="B27" s="46" t="s">
        <v>619</v>
      </c>
      <c r="C27" s="46"/>
      <c r="D27" s="44">
        <f t="shared" ref="D27:I27" si="5">SUMIF($C$12:$C$21,"Bulgaria",D$12:D$21)</f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44">
        <f t="shared" si="5"/>
        <v>0</v>
      </c>
      <c r="I27" s="44">
        <f t="shared" si="5"/>
        <v>0</v>
      </c>
      <c r="J27" s="45">
        <f>SUM(D27:I27)</f>
        <v>0</v>
      </c>
    </row>
    <row r="28" spans="1:10">
      <c r="B28" s="45" t="s">
        <v>422</v>
      </c>
      <c r="D28" s="45">
        <f t="shared" ref="D28:I28" si="6">SUM(D26:D27)</f>
        <v>0</v>
      </c>
      <c r="E28" s="45">
        <f t="shared" si="6"/>
        <v>0</v>
      </c>
      <c r="F28" s="45">
        <f t="shared" si="6"/>
        <v>0</v>
      </c>
      <c r="G28" s="45">
        <f t="shared" si="6"/>
        <v>0</v>
      </c>
      <c r="H28" s="45">
        <f t="shared" si="6"/>
        <v>0</v>
      </c>
      <c r="I28" s="45">
        <f t="shared" si="6"/>
        <v>0</v>
      </c>
      <c r="J28" s="45">
        <f>SUM(D28:I28)</f>
        <v>0</v>
      </c>
    </row>
    <row r="31" spans="1:10">
      <c r="A31" s="39"/>
      <c r="B31" s="39"/>
      <c r="C31" s="39"/>
      <c r="D31" s="49" t="s">
        <v>27</v>
      </c>
      <c r="E31" s="49" t="s">
        <v>28</v>
      </c>
      <c r="F31" s="49" t="s">
        <v>29</v>
      </c>
      <c r="G31" s="49" t="s">
        <v>30</v>
      </c>
      <c r="H31" s="49" t="s">
        <v>31</v>
      </c>
      <c r="I31" s="49" t="s">
        <v>32</v>
      </c>
      <c r="J31" s="43" t="s">
        <v>422</v>
      </c>
    </row>
    <row r="32" spans="1:10">
      <c r="B32" s="46" t="s">
        <v>505</v>
      </c>
      <c r="C32" s="46">
        <f>'Cover page'!G22</f>
        <v>0</v>
      </c>
      <c r="D32" s="44">
        <f>SUMIF('LB (PB1)'!$A$3:$A$201,"WP1",'LB (PB1)'!$I$3:$I$201)</f>
        <v>0</v>
      </c>
      <c r="E32" s="44">
        <f>SUMIF('LB (PB1)'!$A$3:$A$201,"WP2",'LB (PB1)'!$I$3:$I$201)</f>
        <v>0</v>
      </c>
      <c r="F32" s="44">
        <f>SUMIF('LB (PB1)'!$A$3:$A$201,"WP3",'LB (PB1)'!$I$3:$I$201)</f>
        <v>0</v>
      </c>
      <c r="G32" s="44">
        <f>SUMIF('LB (PB1)'!$A$3:$A$201,"WP4",'LB (PB1)'!$I$3:$I$201)</f>
        <v>0</v>
      </c>
      <c r="H32" s="44">
        <f>SUMIF('LB (PB1)'!$A$3:$A$201,"WP5",'LB (PB1)'!$I$3:$I$201)</f>
        <v>0</v>
      </c>
      <c r="I32" s="44">
        <f>SUMIF('LB (PB1)'!$A$3:$A$201,"WP6",'LB (PB1)'!$I$3:$I$201)</f>
        <v>0</v>
      </c>
      <c r="J32" s="45">
        <f>SUM(D32:I32)</f>
        <v>0</v>
      </c>
    </row>
    <row r="33" spans="2:10">
      <c r="B33" s="46" t="s">
        <v>496</v>
      </c>
      <c r="C33" s="46">
        <f>'Cover page'!G23</f>
        <v>0</v>
      </c>
      <c r="D33" s="44">
        <f ca="1">SUMIF('PB2'!$A$3:$A$215,"WP1",'PB2'!$I$3:$I$201)</f>
        <v>0</v>
      </c>
      <c r="E33" s="44">
        <f ca="1">SUMIF('PB2'!$A$3:$A$215,"WP2",'PB2'!$I$3:$I$201)</f>
        <v>0</v>
      </c>
      <c r="F33" s="44">
        <f ca="1">SUMIF('PB2'!$A$3:$A$215,"WP3",'PB2'!$I$3:$I$201)</f>
        <v>0</v>
      </c>
      <c r="G33" s="44">
        <f ca="1">SUMIF('PB2'!$A$3:$A$215,"WP4",'PB2'!$I$3:$I$201)</f>
        <v>0</v>
      </c>
      <c r="H33" s="44">
        <f ca="1">SUMIF('PB2'!$A$3:$A$215,"WP5",'PB2'!$I$3:$I$201)</f>
        <v>0</v>
      </c>
      <c r="I33" s="44">
        <f ca="1">SUMIF('PB2'!$A$3:$A$215,"WP6",'PB2'!$I$3:$I$201)</f>
        <v>0</v>
      </c>
      <c r="J33" s="45">
        <f t="shared" ref="J33:J42" ca="1" si="7">SUM(D33:I33)</f>
        <v>0</v>
      </c>
    </row>
    <row r="34" spans="2:10">
      <c r="B34" s="46" t="s">
        <v>497</v>
      </c>
      <c r="C34" s="46">
        <f>'Cover page'!G24</f>
        <v>0</v>
      </c>
      <c r="D34" s="44">
        <f>SUMIF('PB3'!$A$3:$A201,"WP1",'PB3'!$I$3:$I$201)</f>
        <v>0</v>
      </c>
      <c r="E34" s="44">
        <f>SUMIF('PB3'!$A$3:$A201,"WP2",'PB3'!$I$3:$I$201)</f>
        <v>0</v>
      </c>
      <c r="F34" s="44">
        <f>SUMIF('PB3'!$A$3:$A201,"WP3",'PB3'!$I$3:$I$201)</f>
        <v>0</v>
      </c>
      <c r="G34" s="44">
        <f>SUMIF('PB3'!$A$3:$A201,"WP4",'PB3'!$I$3:$I$201)</f>
        <v>0</v>
      </c>
      <c r="H34" s="44">
        <f>SUMIF('PB3'!$A$3:$A201,"WP5",'PB3'!$I$3:$I$201)</f>
        <v>0</v>
      </c>
      <c r="I34" s="44">
        <f>SUMIF('PB3'!$A$3:$A201,"WP6",'PB3'!$I$3:$I$201)</f>
        <v>0</v>
      </c>
      <c r="J34" s="45">
        <f t="shared" si="7"/>
        <v>0</v>
      </c>
    </row>
    <row r="35" spans="2:10">
      <c r="B35" s="46" t="s">
        <v>498</v>
      </c>
      <c r="C35" s="46">
        <f>'Cover page'!G25</f>
        <v>0</v>
      </c>
      <c r="D35" s="44">
        <f>SUMIF('PB4'!$A$3:$A$201,"WP1",'PB4'!$I$3:$I$201)</f>
        <v>0</v>
      </c>
      <c r="E35" s="44">
        <f>SUMIF('PB4'!$A$3:$A$201,"WP2",'PB4'!$I$3:$I$201)</f>
        <v>0</v>
      </c>
      <c r="F35" s="44">
        <f>SUMIF('PB4'!$A$3:$A$201,"WP3",'PB4'!$I$3:$I$201)</f>
        <v>0</v>
      </c>
      <c r="G35" s="44">
        <f>SUMIF('PB4'!$A$3:$A$201,"WP4",'PB4'!$I$3:$I$201)</f>
        <v>0</v>
      </c>
      <c r="H35" s="44">
        <f>SUMIF('PB4'!$A$3:$A$201,"WP5",'PB4'!$I$3:$I$201)</f>
        <v>0</v>
      </c>
      <c r="I35" s="44">
        <f>SUMIF('PB4'!$A$3:$A$201,"WP6",'PB4'!$I$3:$I$201)</f>
        <v>0</v>
      </c>
      <c r="J35" s="45">
        <f t="shared" si="7"/>
        <v>0</v>
      </c>
    </row>
    <row r="36" spans="2:10">
      <c r="B36" s="46" t="s">
        <v>499</v>
      </c>
      <c r="C36" s="46">
        <f>'Cover page'!G26</f>
        <v>0</v>
      </c>
      <c r="D36" s="44">
        <f>SUMIF('PB5'!$A$3:$A$201,"WP1",'PB5'!$I$3:$I$201)</f>
        <v>0</v>
      </c>
      <c r="E36" s="44">
        <f>SUMIF('PB5'!$A$3:$A$201,"WP2",'PB5'!$I$3:$I$201)</f>
        <v>0</v>
      </c>
      <c r="F36" s="44">
        <f>SUMIF('PB5'!$A$3:$A$201,"WP3",'PB5'!$I$3:$I$201)</f>
        <v>0</v>
      </c>
      <c r="G36" s="44">
        <f>SUMIF('PB5'!$A$3:$A$201,"WP4",'PB5'!$I$3:$I$201)</f>
        <v>0</v>
      </c>
      <c r="H36" s="44">
        <f>SUMIF('PB5'!$A$3:$A$201,"WP5",'PB5'!$I$3:$I$201)</f>
        <v>0</v>
      </c>
      <c r="I36" s="44">
        <f>SUMIF('PB5'!$A$3:$A$201,"WP6",'PB5'!$I$3:$I$201)</f>
        <v>0</v>
      </c>
      <c r="J36" s="45">
        <f t="shared" si="7"/>
        <v>0</v>
      </c>
    </row>
    <row r="37" spans="2:10">
      <c r="B37" s="46" t="s">
        <v>500</v>
      </c>
      <c r="C37" s="46">
        <f>'Cover page'!G27</f>
        <v>0</v>
      </c>
      <c r="D37" s="44">
        <f>SUMIF('PB6'!$A$3:$A$201,"WP1",'PB6'!$I$3:$I$201)</f>
        <v>0</v>
      </c>
      <c r="E37" s="44">
        <f>SUMIF('PB6'!$A$3:$A$201,"WP2",'PB6'!$I$3:$I$201)</f>
        <v>0</v>
      </c>
      <c r="F37" s="44">
        <f>SUMIF('PB6'!$A$3:$A$201,"WP3",'PB6'!$I$3:$I$201)</f>
        <v>0</v>
      </c>
      <c r="G37" s="44">
        <f>SUMIF('PB6'!$A$3:$A$201,"WP4",'PB6'!$I$3:$I$201)</f>
        <v>0</v>
      </c>
      <c r="H37" s="44">
        <f>SUMIF('PB6'!$A$3:$A$201,"WP5",'PB6'!$I$3:$I$201)</f>
        <v>0</v>
      </c>
      <c r="I37" s="44">
        <f>SUMIF('PB6'!$A$3:$A$201,"WP6",'PB6'!$I$3:$I$201)</f>
        <v>0</v>
      </c>
      <c r="J37" s="45">
        <f t="shared" si="7"/>
        <v>0</v>
      </c>
    </row>
    <row r="38" spans="2:10">
      <c r="B38" s="46" t="s">
        <v>501</v>
      </c>
      <c r="C38" s="46">
        <f>'Cover page'!G28</f>
        <v>0</v>
      </c>
      <c r="D38" s="44">
        <f>SUMIF('PB7'!$A$3:$A$201,"WP1",'PB7'!$I$3:$I$201)</f>
        <v>0</v>
      </c>
      <c r="E38" s="44">
        <f>SUMIF('PB7'!$A$3:$A$201,"WP2",'PB7'!$I$3:$I$201)</f>
        <v>0</v>
      </c>
      <c r="F38" s="44">
        <f>SUMIF('PB7'!$A$3:$A$201,"WP3",'PB7'!$I$3:$I$201)</f>
        <v>0</v>
      </c>
      <c r="G38" s="44">
        <f>SUMIF('PB7'!$A$3:$A$201,"WP4",'PB7'!$I$3:$I$201)</f>
        <v>0</v>
      </c>
      <c r="H38" s="44">
        <f>SUMIF('PB7'!$A$3:$A$201,"WP5",'PB7'!$I$3:$I$201)</f>
        <v>0</v>
      </c>
      <c r="I38" s="44">
        <f>SUMIF('PB7'!$A$3:$A$201,"WP6",'PB7'!$I$3:$I$201)</f>
        <v>0</v>
      </c>
      <c r="J38" s="45">
        <f t="shared" si="7"/>
        <v>0</v>
      </c>
    </row>
    <row r="39" spans="2:10">
      <c r="B39" s="46" t="s">
        <v>502</v>
      </c>
      <c r="C39" s="46">
        <f>'Cover page'!G29</f>
        <v>0</v>
      </c>
      <c r="D39" s="44">
        <f>SUMIF('PB8'!$A$3:$A$201,"WP1",'PB8'!$I$3:$I$201)</f>
        <v>0</v>
      </c>
      <c r="E39" s="44">
        <f>SUMIF('PB8'!$A$3:$A$201,"WP2",'PB8'!$I$3:$I$201)</f>
        <v>0</v>
      </c>
      <c r="F39" s="44">
        <f>SUMIF('PB8'!$A$3:$A$201,"WP3",'PB8'!$I$3:$I$201)</f>
        <v>0</v>
      </c>
      <c r="G39" s="44">
        <f>SUMIF('PB8'!$A$3:$A$201,"WP4",'PB8'!$I$3:$I$201)</f>
        <v>0</v>
      </c>
      <c r="H39" s="44">
        <f>SUMIF('PB8'!$A$3:$A$201,"WP5",'PB8'!$I$3:$I$201)</f>
        <v>0</v>
      </c>
      <c r="I39" s="44">
        <f>SUMIF('PB8'!$A$3:$A$201,"WP6",'PB8'!$I$3:$I$201)</f>
        <v>0</v>
      </c>
      <c r="J39" s="45">
        <f t="shared" si="7"/>
        <v>0</v>
      </c>
    </row>
    <row r="40" spans="2:10">
      <c r="B40" s="46" t="s">
        <v>503</v>
      </c>
      <c r="C40" s="46">
        <f>'Cover page'!G30</f>
        <v>0</v>
      </c>
      <c r="D40" s="44">
        <f>SUMIF('PB9'!$A$3:$A$201,"WP1",'PB9'!$I$3:$I$201)</f>
        <v>0</v>
      </c>
      <c r="E40" s="44">
        <f>SUMIF('PB9'!$A$3:$A$201,"WP2",'PB9'!$I$3:$I$201)</f>
        <v>0</v>
      </c>
      <c r="F40" s="44">
        <f>SUMIF('PB9'!$A$3:$A$201,"WP3",'PB9'!$I$3:$I$201)</f>
        <v>0</v>
      </c>
      <c r="G40" s="44">
        <f>SUMIF('PB9'!$A$3:$A$201,"WP4",'PB9'!$I$3:$I$201)</f>
        <v>0</v>
      </c>
      <c r="H40" s="44">
        <f>SUMIF('PB9'!$A$3:$A$201,"WP5",'PB9'!$I$3:$I$201)</f>
        <v>0</v>
      </c>
      <c r="I40" s="44">
        <f>SUMIF('PB9'!$A$3:$A$201,"WP6",'PB9'!$I$3:$I$201)</f>
        <v>0</v>
      </c>
      <c r="J40" s="45">
        <f t="shared" si="7"/>
        <v>0</v>
      </c>
    </row>
    <row r="41" spans="2:10">
      <c r="B41" s="46" t="s">
        <v>504</v>
      </c>
      <c r="C41" s="46">
        <f>'Cover page'!G31</f>
        <v>0</v>
      </c>
      <c r="D41" s="44">
        <f>SUMIF('PB10'!$A$3:$A$201,"WP1",'PB10'!$I$3:$I$201)</f>
        <v>0</v>
      </c>
      <c r="E41" s="44">
        <f>SUMIF('PB10'!$A$3:$A$201,"WP2",'PB10'!$I$3:$I$201)</f>
        <v>0</v>
      </c>
      <c r="F41" s="44">
        <f>SUMIF('PB10'!$A$3:$A$201,"WP3",'PB10'!$I$3:$I$201)</f>
        <v>0</v>
      </c>
      <c r="G41" s="44">
        <f>SUMIF('PB10'!$A$3:$A$201,"WP4",'PB10'!$I$3:$I$201)</f>
        <v>0</v>
      </c>
      <c r="H41" s="44">
        <f>SUMIF('PB10'!$A$3:$A$201,"WP5",'PB10'!$I$3:$I$201)</f>
        <v>0</v>
      </c>
      <c r="I41" s="44">
        <f>SUMIF('PB10'!$A$3:$A$201,"WP6",'PB10'!$I$3:$I$201)</f>
        <v>0</v>
      </c>
      <c r="J41" s="45">
        <f t="shared" si="7"/>
        <v>0</v>
      </c>
    </row>
    <row r="42" spans="2:10">
      <c r="B42" s="45" t="s">
        <v>422</v>
      </c>
      <c r="C42" s="45"/>
      <c r="D42" s="45">
        <f t="shared" ref="D42:I42" ca="1" si="8">SUM(D32:D41)</f>
        <v>0</v>
      </c>
      <c r="E42" s="45">
        <f t="shared" ca="1" si="8"/>
        <v>0</v>
      </c>
      <c r="F42" s="45">
        <f t="shared" ca="1" si="8"/>
        <v>0</v>
      </c>
      <c r="G42" s="45">
        <f t="shared" ca="1" si="8"/>
        <v>0</v>
      </c>
      <c r="H42" s="45">
        <f t="shared" ca="1" si="8"/>
        <v>0</v>
      </c>
      <c r="I42" s="45">
        <f t="shared" ca="1" si="8"/>
        <v>0</v>
      </c>
      <c r="J42" s="45">
        <f t="shared" ca="1" si="7"/>
        <v>0</v>
      </c>
    </row>
    <row r="45" spans="2:10">
      <c r="D45" s="49" t="s">
        <v>27</v>
      </c>
      <c r="E45" s="49" t="s">
        <v>28</v>
      </c>
      <c r="F45" s="49" t="s">
        <v>29</v>
      </c>
      <c r="G45" s="49" t="s">
        <v>30</v>
      </c>
      <c r="H45" s="49" t="s">
        <v>31</v>
      </c>
      <c r="I45" s="49" t="s">
        <v>32</v>
      </c>
      <c r="J45" s="43" t="s">
        <v>422</v>
      </c>
    </row>
    <row r="46" spans="2:10">
      <c r="B46" s="46" t="s">
        <v>18</v>
      </c>
      <c r="C46" s="46"/>
      <c r="D46" s="44">
        <f t="shared" ref="D46:I46" si="9">SUMIF($C$32:$C$41,"Greece",D$32:D$41)</f>
        <v>0</v>
      </c>
      <c r="E46" s="44">
        <f t="shared" si="9"/>
        <v>0</v>
      </c>
      <c r="F46" s="44">
        <f t="shared" si="9"/>
        <v>0</v>
      </c>
      <c r="G46" s="44">
        <f t="shared" si="9"/>
        <v>0</v>
      </c>
      <c r="H46" s="44">
        <f t="shared" si="9"/>
        <v>0</v>
      </c>
      <c r="I46" s="44">
        <f t="shared" si="9"/>
        <v>0</v>
      </c>
      <c r="J46" s="45">
        <f>SUM(D46:I46)</f>
        <v>0</v>
      </c>
    </row>
    <row r="47" spans="2:10">
      <c r="B47" s="46" t="s">
        <v>619</v>
      </c>
      <c r="C47" s="46"/>
      <c r="D47" s="44">
        <f t="shared" ref="D47:I47" si="10">SUMIF($C$32:$C$41,"Bulgaria",D$32:D$41)</f>
        <v>0</v>
      </c>
      <c r="E47" s="44">
        <f t="shared" si="10"/>
        <v>0</v>
      </c>
      <c r="F47" s="44">
        <f t="shared" si="10"/>
        <v>0</v>
      </c>
      <c r="G47" s="44">
        <f t="shared" si="10"/>
        <v>0</v>
      </c>
      <c r="H47" s="44">
        <f t="shared" si="10"/>
        <v>0</v>
      </c>
      <c r="I47" s="44">
        <f t="shared" si="10"/>
        <v>0</v>
      </c>
      <c r="J47" s="45">
        <f>SUM(D47:I47)</f>
        <v>0</v>
      </c>
    </row>
    <row r="48" spans="2:10">
      <c r="B48" s="45" t="s">
        <v>422</v>
      </c>
      <c r="D48" s="45">
        <f t="shared" ref="D48:I48" si="11">SUM(D46:D47)</f>
        <v>0</v>
      </c>
      <c r="E48" s="45">
        <f t="shared" si="11"/>
        <v>0</v>
      </c>
      <c r="F48" s="45">
        <f t="shared" si="11"/>
        <v>0</v>
      </c>
      <c r="G48" s="45">
        <f t="shared" si="11"/>
        <v>0</v>
      </c>
      <c r="H48" s="45">
        <f t="shared" si="11"/>
        <v>0</v>
      </c>
      <c r="I48" s="45">
        <f t="shared" si="11"/>
        <v>0</v>
      </c>
      <c r="J48" s="45">
        <f>SUM(D48:I48)</f>
        <v>0</v>
      </c>
    </row>
  </sheetData>
  <sheetProtection password="C613" sheet="1" objects="1" scenarios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&amp;LINTERREG V/A
Greece – Italy 2014-2020&amp;R&amp;A</oddHeader>
    <oddFooter>&amp;LJustification of the budget&amp;R&amp;P from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8"/>
  <sheetViews>
    <sheetView zoomScale="85" zoomScaleNormal="85" zoomScaleSheetLayoutView="80" workbookViewId="0">
      <selection activeCell="G62" sqref="G62"/>
    </sheetView>
  </sheetViews>
  <sheetFormatPr defaultRowHeight="15"/>
  <cols>
    <col min="2" max="2" width="13.42578125" customWidth="1"/>
    <col min="3" max="3" width="15.28515625" customWidth="1"/>
    <col min="4" max="5" width="15.42578125" customWidth="1"/>
    <col min="6" max="6" width="13.28515625" customWidth="1"/>
    <col min="7" max="7" width="13.85546875" customWidth="1"/>
    <col min="8" max="8" width="6.5703125" customWidth="1"/>
    <col min="9" max="9" width="14.7109375" customWidth="1"/>
    <col min="10" max="15" width="19.5703125" customWidth="1"/>
  </cols>
  <sheetData>
    <row r="1" spans="1:15">
      <c r="A1" s="233" t="s">
        <v>611</v>
      </c>
      <c r="B1" s="233"/>
      <c r="C1" s="233"/>
      <c r="D1" s="234" t="str">
        <f>'Cover page'!A12</f>
        <v>1st  Call for Proposals for Ordinary Projects</v>
      </c>
      <c r="E1" s="234"/>
      <c r="F1" s="234"/>
      <c r="G1" s="235"/>
      <c r="I1" s="117" t="s">
        <v>612</v>
      </c>
      <c r="J1" s="260" t="s">
        <v>542</v>
      </c>
      <c r="K1" s="261"/>
      <c r="L1" s="261"/>
      <c r="M1" s="261"/>
      <c r="N1" s="262"/>
    </row>
    <row r="2" spans="1:15" ht="46.5" customHeight="1">
      <c r="A2" s="236"/>
      <c r="B2" s="237"/>
      <c r="C2" s="237"/>
      <c r="D2" s="236" t="s">
        <v>593</v>
      </c>
      <c r="E2" s="244"/>
      <c r="F2" s="241" t="s">
        <v>618</v>
      </c>
      <c r="G2" s="241"/>
      <c r="I2" s="75" t="s">
        <v>4</v>
      </c>
      <c r="J2" s="263">
        <f>'Cover page'!D15</f>
        <v>0</v>
      </c>
      <c r="K2" s="263"/>
      <c r="L2" s="263"/>
      <c r="M2" s="263"/>
      <c r="N2" s="263"/>
    </row>
    <row r="3" spans="1:15" ht="43.5" customHeight="1">
      <c r="A3" s="239" t="s">
        <v>560</v>
      </c>
      <c r="B3" s="239"/>
      <c r="C3" s="245"/>
      <c r="D3" s="240" t="s">
        <v>565</v>
      </c>
      <c r="E3" s="240"/>
      <c r="F3" s="242">
        <f>0.2*(D24-E24-L24)</f>
        <v>0</v>
      </c>
      <c r="G3" s="243"/>
      <c r="I3" s="75" t="s">
        <v>5</v>
      </c>
      <c r="J3" s="263">
        <f>'Cover page'!D16</f>
        <v>0</v>
      </c>
      <c r="K3" s="263"/>
      <c r="L3" s="263"/>
      <c r="M3" s="263"/>
      <c r="N3" s="263"/>
    </row>
    <row r="4" spans="1:15" ht="38.25" customHeight="1">
      <c r="A4" s="239" t="s">
        <v>492</v>
      </c>
      <c r="B4" s="239"/>
      <c r="C4" s="245"/>
      <c r="D4" s="238" t="s">
        <v>572</v>
      </c>
      <c r="E4" s="238"/>
      <c r="F4" s="242">
        <f>IF(D24*0.05&lt;40000,D24*0.05,40000)</f>
        <v>0</v>
      </c>
      <c r="G4" s="243"/>
      <c r="I4" s="75" t="s">
        <v>540</v>
      </c>
      <c r="J4" s="263" t="str">
        <f>'Cover page'!D17</f>
        <v>1. Innovation and Competitiveness</v>
      </c>
      <c r="K4" s="263"/>
      <c r="L4" s="263"/>
      <c r="M4" s="263"/>
      <c r="N4" s="263"/>
    </row>
    <row r="5" spans="1:15" ht="82.5" customHeight="1">
      <c r="A5" s="238" t="s">
        <v>564</v>
      </c>
      <c r="B5" s="239"/>
      <c r="C5" s="245"/>
      <c r="D5" s="238" t="s">
        <v>566</v>
      </c>
      <c r="E5" s="239"/>
      <c r="F5" s="242">
        <f>D24*0.2</f>
        <v>0</v>
      </c>
      <c r="G5" s="243"/>
      <c r="I5" s="98" t="s">
        <v>649</v>
      </c>
      <c r="J5" s="147" t="str">
        <f>'Cover page'!D18</f>
        <v>1b</v>
      </c>
      <c r="K5" s="258" t="e">
        <f>VLOOKUP(J5,Ranges!D47:I57,2,FALSE)</f>
        <v>#N/A</v>
      </c>
      <c r="L5" s="258"/>
      <c r="M5" s="258"/>
      <c r="N5" s="259"/>
    </row>
    <row r="6" spans="1:15" ht="57.75" customHeight="1">
      <c r="A6" s="241"/>
      <c r="B6" s="241"/>
      <c r="C6" s="241"/>
      <c r="D6" s="241" t="s">
        <v>592</v>
      </c>
      <c r="E6" s="241"/>
      <c r="F6" s="241" t="s">
        <v>615</v>
      </c>
      <c r="G6" s="241"/>
      <c r="I6" s="250" t="s">
        <v>650</v>
      </c>
      <c r="J6" s="250"/>
      <c r="K6" s="75" t="s">
        <v>570</v>
      </c>
      <c r="L6" s="97">
        <v>250000</v>
      </c>
      <c r="M6" s="75" t="s">
        <v>571</v>
      </c>
      <c r="N6" s="97" t="e">
        <f>VLOOKUP(J5,Ranges!D47:H57,5,FALSE)</f>
        <v>#N/A</v>
      </c>
    </row>
    <row r="7" spans="1:15" ht="47.25" customHeight="1">
      <c r="A7" s="239" t="s">
        <v>561</v>
      </c>
      <c r="B7" s="239"/>
      <c r="C7" s="239"/>
      <c r="D7" s="240" t="s">
        <v>567</v>
      </c>
      <c r="E7" s="240"/>
      <c r="F7" s="248" t="s">
        <v>616</v>
      </c>
      <c r="G7" s="249"/>
    </row>
    <row r="8" spans="1:15" ht="39" customHeight="1">
      <c r="A8" s="239" t="s">
        <v>562</v>
      </c>
      <c r="B8" s="239"/>
      <c r="C8" s="239"/>
      <c r="D8" s="238" t="s">
        <v>569</v>
      </c>
      <c r="E8" s="238"/>
      <c r="F8" s="248" t="s">
        <v>616</v>
      </c>
      <c r="G8" s="249"/>
      <c r="J8" s="95" t="s">
        <v>576</v>
      </c>
      <c r="K8" s="116">
        <f>'Cover page'!G33</f>
        <v>0</v>
      </c>
    </row>
    <row r="9" spans="1:15" ht="49.5" customHeight="1">
      <c r="A9" s="238" t="s">
        <v>563</v>
      </c>
      <c r="B9" s="239"/>
      <c r="C9" s="239"/>
      <c r="D9" s="246" t="s">
        <v>568</v>
      </c>
      <c r="E9" s="247"/>
      <c r="F9" s="248" t="s">
        <v>617</v>
      </c>
      <c r="G9" s="249"/>
    </row>
    <row r="10" spans="1:15" ht="24.75" customHeight="1">
      <c r="A10" s="107"/>
      <c r="B10" s="108"/>
      <c r="C10" s="108"/>
      <c r="D10" s="109"/>
      <c r="E10" s="109"/>
      <c r="F10" s="110"/>
      <c r="G10" s="111"/>
    </row>
    <row r="11" spans="1:15">
      <c r="A11" s="257" t="s">
        <v>595</v>
      </c>
      <c r="B11" s="257"/>
      <c r="C11" s="257"/>
      <c r="D11" s="257"/>
      <c r="E11" s="257"/>
      <c r="F11" s="257"/>
      <c r="G11" s="257"/>
      <c r="I11" s="257" t="s">
        <v>607</v>
      </c>
      <c r="J11" s="257"/>
      <c r="K11" s="257"/>
      <c r="L11" s="257"/>
      <c r="M11" s="257"/>
      <c r="N11" s="257"/>
      <c r="O11" s="257"/>
    </row>
    <row r="12" spans="1:15">
      <c r="A12" s="96" t="s">
        <v>581</v>
      </c>
      <c r="B12" s="96" t="s">
        <v>582</v>
      </c>
      <c r="C12" s="96" t="s">
        <v>583</v>
      </c>
      <c r="D12" s="96" t="s">
        <v>584</v>
      </c>
      <c r="E12" s="96" t="s">
        <v>594</v>
      </c>
      <c r="F12" s="96" t="s">
        <v>585</v>
      </c>
      <c r="G12" s="96" t="s">
        <v>586</v>
      </c>
      <c r="I12" s="96" t="s">
        <v>587</v>
      </c>
      <c r="J12" s="96" t="s">
        <v>588</v>
      </c>
      <c r="K12" s="96" t="s">
        <v>589</v>
      </c>
      <c r="L12" s="96" t="s">
        <v>590</v>
      </c>
      <c r="M12" s="96" t="s">
        <v>591</v>
      </c>
      <c r="N12" s="96" t="s">
        <v>600</v>
      </c>
      <c r="O12" s="96" t="s">
        <v>601</v>
      </c>
    </row>
    <row r="13" spans="1:15" ht="107.25" customHeight="1">
      <c r="A13" s="104" t="s">
        <v>613</v>
      </c>
      <c r="B13" s="106" t="s">
        <v>513</v>
      </c>
      <c r="C13" s="106" t="s">
        <v>528</v>
      </c>
      <c r="D13" s="106" t="s">
        <v>599</v>
      </c>
      <c r="E13" s="106" t="s">
        <v>598</v>
      </c>
      <c r="F13" s="106" t="s">
        <v>492</v>
      </c>
      <c r="G13" s="112" t="s">
        <v>596</v>
      </c>
      <c r="I13" s="104" t="s">
        <v>614</v>
      </c>
      <c r="J13" s="106" t="s">
        <v>602</v>
      </c>
      <c r="K13" s="106" t="s">
        <v>610</v>
      </c>
      <c r="L13" s="106" t="s">
        <v>603</v>
      </c>
      <c r="M13" s="106" t="s">
        <v>604</v>
      </c>
      <c r="N13" s="106" t="s">
        <v>605</v>
      </c>
      <c r="O13" s="106" t="s">
        <v>606</v>
      </c>
    </row>
    <row r="14" spans="1:15">
      <c r="A14" s="59" t="s">
        <v>505</v>
      </c>
      <c r="B14" s="67" t="str">
        <f>'LB (PB1)'!M202</f>
        <v>-</v>
      </c>
      <c r="C14" s="67" t="str">
        <f>'LB (PB1)'!M206</f>
        <v>-</v>
      </c>
      <c r="D14" s="60">
        <f>'Project Overview'!J12</f>
        <v>0</v>
      </c>
      <c r="E14" s="61">
        <f>'Project Overview'!D12</f>
        <v>0</v>
      </c>
      <c r="F14" s="61">
        <f>'AF-Tables'!V4</f>
        <v>0</v>
      </c>
      <c r="G14" s="60">
        <f>IF('Cover page'!H22="NO",D14,0)</f>
        <v>0</v>
      </c>
      <c r="I14" s="59" t="s">
        <v>505</v>
      </c>
      <c r="J14" s="105">
        <f t="shared" ref="J14:J23" si="0">IF(C14="Flat Rate",MIN(0.15*E14,0.04*D14),IF(C14="Real Costs",0.04*D14,0))</f>
        <v>0</v>
      </c>
      <c r="K14" s="105">
        <f t="shared" ref="K14:K23" si="1">D14*0.1</f>
        <v>0</v>
      </c>
      <c r="L14" s="61">
        <f>'Project Overview'!E12</f>
        <v>0</v>
      </c>
      <c r="M14" s="61">
        <f>'AF-Tables'!V3</f>
        <v>0</v>
      </c>
      <c r="N14" s="61">
        <f>SUMIF('LB (PB1)'!K3:K201,"WP1-Audits",'LB (PB1)'!I3:I201)</f>
        <v>0</v>
      </c>
      <c r="O14" s="61">
        <f t="shared" ref="O14:O23" si="2">M14-N14-F14</f>
        <v>0</v>
      </c>
    </row>
    <row r="15" spans="1:15">
      <c r="A15" s="59" t="s">
        <v>496</v>
      </c>
      <c r="B15" s="67" t="str">
        <f>'PB2'!M202</f>
        <v>-</v>
      </c>
      <c r="C15" s="67" t="str">
        <f>'PB2'!M206</f>
        <v>-</v>
      </c>
      <c r="D15" s="60">
        <f>'Project Overview'!J13</f>
        <v>0</v>
      </c>
      <c r="E15" s="61">
        <f>'Project Overview'!D13</f>
        <v>0</v>
      </c>
      <c r="F15" s="61">
        <f>'AF-Tables'!V44</f>
        <v>0</v>
      </c>
      <c r="G15" s="60">
        <f>IF('Cover page'!H23="NO",D15,0)</f>
        <v>0</v>
      </c>
      <c r="I15" s="59" t="s">
        <v>496</v>
      </c>
      <c r="J15" s="105">
        <f t="shared" si="0"/>
        <v>0</v>
      </c>
      <c r="K15" s="105">
        <f t="shared" si="1"/>
        <v>0</v>
      </c>
      <c r="L15" s="61">
        <f>'Project Overview'!E13</f>
        <v>0</v>
      </c>
      <c r="M15" s="61">
        <f>'AF-Tables'!V43</f>
        <v>0</v>
      </c>
      <c r="N15" s="61">
        <f>SUMIF('PB2'!K3:K201,"WP1-Audits",'PB2'!I3:I201)</f>
        <v>0</v>
      </c>
      <c r="O15" s="61">
        <f t="shared" si="2"/>
        <v>0</v>
      </c>
    </row>
    <row r="16" spans="1:15">
      <c r="A16" s="59" t="s">
        <v>497</v>
      </c>
      <c r="B16" s="67" t="str">
        <f>'PB3'!M202</f>
        <v>-</v>
      </c>
      <c r="C16" s="67" t="str">
        <f>'PB3'!M206</f>
        <v>-</v>
      </c>
      <c r="D16" s="60">
        <f>'Project Overview'!J14</f>
        <v>0</v>
      </c>
      <c r="E16" s="61">
        <f>'Project Overview'!D14</f>
        <v>0</v>
      </c>
      <c r="F16" s="61">
        <f>'AF-Tables'!V84</f>
        <v>0</v>
      </c>
      <c r="G16" s="60">
        <f>IF('Cover page'!H24="NO",D16,0)</f>
        <v>0</v>
      </c>
      <c r="I16" s="59" t="s">
        <v>497</v>
      </c>
      <c r="J16" s="105">
        <f t="shared" si="0"/>
        <v>0</v>
      </c>
      <c r="K16" s="105">
        <f t="shared" si="1"/>
        <v>0</v>
      </c>
      <c r="L16" s="61">
        <f>'Project Overview'!E14</f>
        <v>0</v>
      </c>
      <c r="M16" s="61">
        <f>'AF-Tables'!V83</f>
        <v>0</v>
      </c>
      <c r="N16" s="61">
        <f>SUMIF('PB3'!K3:K201,"WP1-Audits",'PB3'!I3:I201)</f>
        <v>0</v>
      </c>
      <c r="O16" s="61">
        <f t="shared" si="2"/>
        <v>0</v>
      </c>
    </row>
    <row r="17" spans="1:15">
      <c r="A17" s="59" t="s">
        <v>498</v>
      </c>
      <c r="B17" s="67" t="str">
        <f>'PB4'!M202</f>
        <v>-</v>
      </c>
      <c r="C17" s="67" t="str">
        <f>'PB4'!M206</f>
        <v>-</v>
      </c>
      <c r="D17" s="60">
        <f>'Project Overview'!J15</f>
        <v>0</v>
      </c>
      <c r="E17" s="61">
        <f>'Project Overview'!D15</f>
        <v>0</v>
      </c>
      <c r="F17" s="61">
        <f>'AF-Tables'!V124</f>
        <v>0</v>
      </c>
      <c r="G17" s="60">
        <f>IF('Cover page'!H25="NO",D17,0)</f>
        <v>0</v>
      </c>
      <c r="I17" s="59" t="s">
        <v>498</v>
      </c>
      <c r="J17" s="105">
        <f t="shared" si="0"/>
        <v>0</v>
      </c>
      <c r="K17" s="105">
        <f t="shared" si="1"/>
        <v>0</v>
      </c>
      <c r="L17" s="61">
        <f>'Project Overview'!E15</f>
        <v>0</v>
      </c>
      <c r="M17" s="61">
        <f>'AF-Tables'!V123</f>
        <v>0</v>
      </c>
      <c r="N17" s="61">
        <f>SUMIF('PB4'!K3:K201,"WP1-Audits",'PB4'!I3:I201)</f>
        <v>0</v>
      </c>
      <c r="O17" s="61">
        <f t="shared" si="2"/>
        <v>0</v>
      </c>
    </row>
    <row r="18" spans="1:15">
      <c r="A18" s="59" t="s">
        <v>499</v>
      </c>
      <c r="B18" s="67" t="str">
        <f>'PB5'!M202</f>
        <v>-</v>
      </c>
      <c r="C18" s="67" t="str">
        <f>'PB5'!M206</f>
        <v>-</v>
      </c>
      <c r="D18" s="60">
        <f>'Project Overview'!J16</f>
        <v>0</v>
      </c>
      <c r="E18" s="61">
        <f>'Project Overview'!D16</f>
        <v>0</v>
      </c>
      <c r="F18" s="61">
        <f>'AF-Tables'!V164</f>
        <v>0</v>
      </c>
      <c r="G18" s="60">
        <f>IF('Cover page'!H26="NO",D18,0)</f>
        <v>0</v>
      </c>
      <c r="I18" s="59" t="s">
        <v>499</v>
      </c>
      <c r="J18" s="105">
        <f t="shared" si="0"/>
        <v>0</v>
      </c>
      <c r="K18" s="105">
        <f t="shared" si="1"/>
        <v>0</v>
      </c>
      <c r="L18" s="61">
        <f>'Project Overview'!E16</f>
        <v>0</v>
      </c>
      <c r="M18" s="61">
        <f>'AF-Tables'!V163</f>
        <v>0</v>
      </c>
      <c r="N18" s="61">
        <f>SUMIF('PB5'!K3:K201,"WP1-Audits",'PB5'!I3:I201)</f>
        <v>0</v>
      </c>
      <c r="O18" s="61">
        <f t="shared" si="2"/>
        <v>0</v>
      </c>
    </row>
    <row r="19" spans="1:15">
      <c r="A19" s="59" t="s">
        <v>500</v>
      </c>
      <c r="B19" s="67" t="str">
        <f>'PB6'!M202</f>
        <v>-</v>
      </c>
      <c r="C19" s="67" t="str">
        <f>'PB6'!M206</f>
        <v>-</v>
      </c>
      <c r="D19" s="60">
        <f>'Project Overview'!J17</f>
        <v>0</v>
      </c>
      <c r="E19" s="61">
        <f>'Project Overview'!D17</f>
        <v>0</v>
      </c>
      <c r="F19" s="61">
        <f>'AF-Tables'!V204</f>
        <v>0</v>
      </c>
      <c r="G19" s="60">
        <f>IF('Cover page'!H27="NO",D19,0)</f>
        <v>0</v>
      </c>
      <c r="I19" s="59" t="s">
        <v>500</v>
      </c>
      <c r="J19" s="105">
        <f t="shared" si="0"/>
        <v>0</v>
      </c>
      <c r="K19" s="105">
        <f t="shared" si="1"/>
        <v>0</v>
      </c>
      <c r="L19" s="61">
        <f>'Project Overview'!E17</f>
        <v>0</v>
      </c>
      <c r="M19" s="61">
        <f>'AF-Tables'!V203</f>
        <v>0</v>
      </c>
      <c r="N19" s="61">
        <f>SUMIF('PB6'!K3:K201,"WP1-Audits",'PB6'!I3:I201)</f>
        <v>0</v>
      </c>
      <c r="O19" s="61">
        <f t="shared" si="2"/>
        <v>0</v>
      </c>
    </row>
    <row r="20" spans="1:15">
      <c r="A20" s="59" t="s">
        <v>501</v>
      </c>
      <c r="B20" s="67" t="str">
        <f>'PB7'!M202</f>
        <v>-</v>
      </c>
      <c r="C20" s="67" t="str">
        <f>'PB7'!M206</f>
        <v>-</v>
      </c>
      <c r="D20" s="60">
        <f>'Project Overview'!J18</f>
        <v>0</v>
      </c>
      <c r="E20" s="61">
        <f>'Project Overview'!D18</f>
        <v>0</v>
      </c>
      <c r="F20" s="61">
        <f>'AF-Tables'!V244</f>
        <v>0</v>
      </c>
      <c r="G20" s="60">
        <f>IF('Cover page'!H28="NO",D20,0)</f>
        <v>0</v>
      </c>
      <c r="I20" s="59" t="s">
        <v>501</v>
      </c>
      <c r="J20" s="105">
        <f t="shared" si="0"/>
        <v>0</v>
      </c>
      <c r="K20" s="105">
        <f t="shared" si="1"/>
        <v>0</v>
      </c>
      <c r="L20" s="61">
        <f>'Project Overview'!E18</f>
        <v>0</v>
      </c>
      <c r="M20" s="61">
        <f>'AF-Tables'!V243</f>
        <v>0</v>
      </c>
      <c r="N20" s="61">
        <f>SUMIF('PB7'!K3:K201,"WP1-Audits",'PB7'!I3:I201)</f>
        <v>0</v>
      </c>
      <c r="O20" s="61">
        <f t="shared" si="2"/>
        <v>0</v>
      </c>
    </row>
    <row r="21" spans="1:15">
      <c r="A21" s="59" t="s">
        <v>502</v>
      </c>
      <c r="B21" s="67" t="str">
        <f>'PB8'!M202</f>
        <v>-</v>
      </c>
      <c r="C21" s="67" t="str">
        <f>'PB8'!M206</f>
        <v>-</v>
      </c>
      <c r="D21" s="60">
        <f>'Project Overview'!J19</f>
        <v>0</v>
      </c>
      <c r="E21" s="61">
        <f>'Project Overview'!D19</f>
        <v>0</v>
      </c>
      <c r="F21" s="61">
        <f>'AF-Tables'!V284</f>
        <v>0</v>
      </c>
      <c r="G21" s="60">
        <f>IF('Cover page'!H29="NO",D21,0)</f>
        <v>0</v>
      </c>
      <c r="I21" s="59" t="s">
        <v>502</v>
      </c>
      <c r="J21" s="105">
        <f t="shared" si="0"/>
        <v>0</v>
      </c>
      <c r="K21" s="105">
        <f t="shared" si="1"/>
        <v>0</v>
      </c>
      <c r="L21" s="61">
        <f>'Project Overview'!E19</f>
        <v>0</v>
      </c>
      <c r="M21" s="61">
        <f>'AF-Tables'!V283</f>
        <v>0</v>
      </c>
      <c r="N21" s="61">
        <f>SUMIF('PB8'!K3:K201,"WP1-Audits",'PB8'!I3:I201)</f>
        <v>0</v>
      </c>
      <c r="O21" s="61">
        <f t="shared" si="2"/>
        <v>0</v>
      </c>
    </row>
    <row r="22" spans="1:15">
      <c r="A22" s="59" t="s">
        <v>503</v>
      </c>
      <c r="B22" s="67" t="str">
        <f>'PB9'!M202</f>
        <v>-</v>
      </c>
      <c r="C22" s="67" t="str">
        <f>'PB9'!M206</f>
        <v>-</v>
      </c>
      <c r="D22" s="60">
        <f>'Project Overview'!J20</f>
        <v>0</v>
      </c>
      <c r="E22" s="61">
        <f>'Project Overview'!D20</f>
        <v>0</v>
      </c>
      <c r="F22" s="61">
        <f>'AF-Tables'!V324</f>
        <v>0</v>
      </c>
      <c r="G22" s="60">
        <f>IF('Cover page'!H30="NO",D22,0)</f>
        <v>0</v>
      </c>
      <c r="I22" s="59" t="s">
        <v>503</v>
      </c>
      <c r="J22" s="105">
        <f t="shared" si="0"/>
        <v>0</v>
      </c>
      <c r="K22" s="105">
        <f t="shared" si="1"/>
        <v>0</v>
      </c>
      <c r="L22" s="61">
        <f>'Project Overview'!E20</f>
        <v>0</v>
      </c>
      <c r="M22" s="61">
        <f>'AF-Tables'!V323</f>
        <v>0</v>
      </c>
      <c r="N22" s="61">
        <f>SUMIF('PB9'!K3:K201,"WP1-Audits",'PB9'!I3:I201)</f>
        <v>0</v>
      </c>
      <c r="O22" s="61">
        <f t="shared" si="2"/>
        <v>0</v>
      </c>
    </row>
    <row r="23" spans="1:15">
      <c r="A23" s="59" t="s">
        <v>504</v>
      </c>
      <c r="B23" s="67" t="str">
        <f>'PB10'!M202</f>
        <v>-</v>
      </c>
      <c r="C23" s="67" t="str">
        <f>'PB10'!M206</f>
        <v>-</v>
      </c>
      <c r="D23" s="60">
        <f>'Project Overview'!J21</f>
        <v>0</v>
      </c>
      <c r="E23" s="61">
        <f>'Project Overview'!D21</f>
        <v>0</v>
      </c>
      <c r="F23" s="61">
        <f>'AF-Tables'!V364</f>
        <v>0</v>
      </c>
      <c r="G23" s="60">
        <f>IF('Cover page'!H31="NO",D23,0)</f>
        <v>0</v>
      </c>
      <c r="I23" s="59" t="s">
        <v>504</v>
      </c>
      <c r="J23" s="105">
        <f t="shared" si="0"/>
        <v>0</v>
      </c>
      <c r="K23" s="105">
        <f t="shared" si="1"/>
        <v>0</v>
      </c>
      <c r="L23" s="61">
        <f>'Project Overview'!E21</f>
        <v>0</v>
      </c>
      <c r="M23" s="61">
        <f>'AF-Tables'!V363</f>
        <v>0</v>
      </c>
      <c r="N23" s="61">
        <f>SUMIF('PB10'!K3:K201,"WP1-Audits",'PB10'!I3:I201)</f>
        <v>0</v>
      </c>
      <c r="O23" s="61">
        <f t="shared" si="2"/>
        <v>0</v>
      </c>
    </row>
    <row r="24" spans="1:15" ht="32.25" customHeight="1">
      <c r="A24" s="254" t="s">
        <v>491</v>
      </c>
      <c r="B24" s="255"/>
      <c r="C24" s="256"/>
      <c r="D24" s="80">
        <f>SUM(D14:D23)</f>
        <v>0</v>
      </c>
      <c r="E24" s="80">
        <f>SUM(E14:E23)</f>
        <v>0</v>
      </c>
      <c r="F24" s="80">
        <f>SUM(F14:F23)</f>
        <v>0</v>
      </c>
      <c r="G24" s="80">
        <f>SUM(G14:G23)</f>
        <v>0</v>
      </c>
      <c r="I24" s="254" t="s">
        <v>599</v>
      </c>
      <c r="J24" s="255"/>
      <c r="K24" s="256"/>
      <c r="L24" s="80">
        <f>SUM(L14:L23)</f>
        <v>0</v>
      </c>
      <c r="M24" s="80">
        <f>SUM(M14:M23)</f>
        <v>0</v>
      </c>
      <c r="N24" s="80">
        <f>SUM(N14:N23)</f>
        <v>0</v>
      </c>
      <c r="O24" s="80">
        <f>SUM(O14:O23)</f>
        <v>0</v>
      </c>
    </row>
    <row r="26" spans="1:15">
      <c r="B26" s="34"/>
      <c r="C26" s="34"/>
      <c r="D26" s="34"/>
      <c r="E26" s="34"/>
      <c r="F26" s="77" t="s">
        <v>21</v>
      </c>
      <c r="G26" s="77" t="s">
        <v>17</v>
      </c>
      <c r="J26" s="103"/>
    </row>
    <row r="27" spans="1:15">
      <c r="B27" s="251" t="s">
        <v>557</v>
      </c>
      <c r="C27" s="252"/>
      <c r="D27" s="252"/>
      <c r="E27" s="253"/>
      <c r="F27" s="85">
        <f>'Cover page'!G34</f>
        <v>0</v>
      </c>
      <c r="G27" s="78" t="e">
        <f>IF(F27="Not Applicable",0,VLOOKUP('Budget Check'!F27,'Project Overview'!B1:J8,9,FALSE))</f>
        <v>#N/A</v>
      </c>
      <c r="J27" s="103"/>
    </row>
    <row r="28" spans="1:15" ht="15" customHeight="1">
      <c r="B28" s="251" t="s">
        <v>597</v>
      </c>
      <c r="C28" s="252"/>
      <c r="D28" s="252"/>
      <c r="E28" s="252"/>
      <c r="F28" s="253"/>
      <c r="G28" s="113" t="e">
        <f>G24+G27</f>
        <v>#N/A</v>
      </c>
    </row>
  </sheetData>
  <sheetProtection password="C613" sheet="1" objects="1" scenarios="1"/>
  <mergeCells count="38">
    <mergeCell ref="K5:N5"/>
    <mergeCell ref="J1:N1"/>
    <mergeCell ref="J2:N2"/>
    <mergeCell ref="J3:N3"/>
    <mergeCell ref="J4:N4"/>
    <mergeCell ref="B28:F28"/>
    <mergeCell ref="I24:K24"/>
    <mergeCell ref="I11:O11"/>
    <mergeCell ref="B27:E27"/>
    <mergeCell ref="A24:C24"/>
    <mergeCell ref="A11:G11"/>
    <mergeCell ref="A7:C7"/>
    <mergeCell ref="A8:C8"/>
    <mergeCell ref="A9:C9"/>
    <mergeCell ref="A4:C4"/>
    <mergeCell ref="A5:C5"/>
    <mergeCell ref="A6:C6"/>
    <mergeCell ref="D7:E7"/>
    <mergeCell ref="D9:E9"/>
    <mergeCell ref="F5:G5"/>
    <mergeCell ref="F9:G9"/>
    <mergeCell ref="I6:J6"/>
    <mergeCell ref="D6:E6"/>
    <mergeCell ref="F6:G6"/>
    <mergeCell ref="D8:E8"/>
    <mergeCell ref="F7:G7"/>
    <mergeCell ref="F8:G8"/>
    <mergeCell ref="A1:C1"/>
    <mergeCell ref="D1:G1"/>
    <mergeCell ref="A2:C2"/>
    <mergeCell ref="D4:E4"/>
    <mergeCell ref="D5:E5"/>
    <mergeCell ref="D3:E3"/>
    <mergeCell ref="F2:G2"/>
    <mergeCell ref="F4:G4"/>
    <mergeCell ref="F3:G3"/>
    <mergeCell ref="D2:E2"/>
    <mergeCell ref="A3:C3"/>
  </mergeCells>
  <conditionalFormatting sqref="J2:J5">
    <cfRule type="cellIs" dxfId="9" priority="20" stopIfTrue="1" operator="notEqual">
      <formula>0</formula>
    </cfRule>
  </conditionalFormatting>
  <conditionalFormatting sqref="D24">
    <cfRule type="cellIs" dxfId="8" priority="51" stopIfTrue="1" operator="notBetween">
      <formula>$L$6</formula>
      <formula>$N$6</formula>
    </cfRule>
  </conditionalFormatting>
  <conditionalFormatting sqref="F24">
    <cfRule type="cellIs" dxfId="7" priority="58" stopIfTrue="1" operator="greaterThan">
      <formula>$F$4</formula>
    </cfRule>
  </conditionalFormatting>
  <conditionalFormatting sqref="L14:L23">
    <cfRule type="cellIs" dxfId="6" priority="102" stopIfTrue="1" operator="greaterThan">
      <formula>J14</formula>
    </cfRule>
  </conditionalFormatting>
  <conditionalFormatting sqref="G28">
    <cfRule type="cellIs" dxfId="5" priority="2" stopIfTrue="1" operator="greaterThan">
      <formula>$F$5</formula>
    </cfRule>
    <cfRule type="cellIs" dxfId="4" priority="3" stopIfTrue="1" operator="greaterThan">
      <formula>676000.01</formula>
    </cfRule>
  </conditionalFormatting>
  <conditionalFormatting sqref="O14:O23">
    <cfRule type="cellIs" dxfId="3" priority="114" stopIfTrue="1" operator="greaterThan">
      <formula>K14</formula>
    </cfRule>
  </conditionalFormatting>
  <conditionalFormatting sqref="E24">
    <cfRule type="expression" dxfId="2" priority="120" stopIfTrue="1">
      <formula>AND($K$8="Flat Rate",$E$24&gt;$F$3)</formula>
    </cfRule>
  </conditionalFormatting>
  <conditionalFormatting sqref="B14:B23">
    <cfRule type="cellIs" priority="1" stopIfTrue="1" operator="equal">
      <formula>"No Staff Costs"</formula>
    </cfRule>
    <cfRule type="cellIs" dxfId="1" priority="121" stopIfTrue="1" operator="equal">
      <formula>"-"</formula>
    </cfRule>
    <cfRule type="cellIs" dxfId="0" priority="122" stopIfTrue="1" operator="notEqual">
      <formula>$K$8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105"/>
  <sheetViews>
    <sheetView topLeftCell="B33" zoomScale="85" zoomScaleNormal="85" workbookViewId="0">
      <selection activeCell="G75" sqref="G75"/>
    </sheetView>
  </sheetViews>
  <sheetFormatPr defaultRowHeight="15"/>
  <cols>
    <col min="3" max="3" width="14.7109375" customWidth="1"/>
    <col min="5" max="5" width="81.5703125" customWidth="1"/>
    <col min="6" max="6" width="12.7109375" bestFit="1" customWidth="1"/>
    <col min="7" max="7" width="17.28515625" bestFit="1" customWidth="1"/>
    <col min="8" max="8" width="16.42578125" bestFit="1" customWidth="1"/>
    <col min="11" max="11" width="56.28515625" bestFit="1" customWidth="1"/>
    <col min="14" max="14" width="12.5703125" customWidth="1"/>
    <col min="15" max="15" width="13.5703125" customWidth="1"/>
    <col min="17" max="17" width="43" bestFit="1" customWidth="1"/>
    <col min="20" max="20" width="11.28515625" customWidth="1"/>
  </cols>
  <sheetData>
    <row r="2" spans="1:21"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  <c r="Q2" t="s">
        <v>229</v>
      </c>
    </row>
    <row r="3" spans="1:21">
      <c r="A3" s="30" t="s">
        <v>18</v>
      </c>
      <c r="B3" s="27" t="s">
        <v>20</v>
      </c>
      <c r="C3" s="29" t="s">
        <v>23</v>
      </c>
      <c r="D3" s="28" t="s">
        <v>27</v>
      </c>
      <c r="E3" s="26" t="s">
        <v>33</v>
      </c>
      <c r="F3" s="26" t="s">
        <v>425</v>
      </c>
      <c r="G3" s="26" t="s">
        <v>424</v>
      </c>
      <c r="H3" s="26" t="s">
        <v>426</v>
      </c>
      <c r="I3" s="26" t="s">
        <v>427</v>
      </c>
      <c r="J3" s="26" t="s">
        <v>428</v>
      </c>
      <c r="L3" s="26" t="s">
        <v>230</v>
      </c>
      <c r="M3" s="26" t="s">
        <v>429</v>
      </c>
      <c r="N3" s="26" t="s">
        <v>430</v>
      </c>
      <c r="O3" s="26" t="s">
        <v>431</v>
      </c>
      <c r="P3" s="26" t="s">
        <v>433</v>
      </c>
      <c r="Q3" s="26" t="s">
        <v>432</v>
      </c>
      <c r="S3" s="29" t="s">
        <v>23</v>
      </c>
      <c r="T3" s="35" t="s">
        <v>64</v>
      </c>
    </row>
    <row r="4" spans="1:21">
      <c r="A4" s="30" t="s">
        <v>619</v>
      </c>
      <c r="B4" s="27" t="s">
        <v>6</v>
      </c>
      <c r="C4" s="29" t="s">
        <v>24</v>
      </c>
      <c r="D4" s="28" t="s">
        <v>28</v>
      </c>
      <c r="E4" s="26" t="s">
        <v>34</v>
      </c>
      <c r="F4" s="26" t="s">
        <v>39</v>
      </c>
      <c r="G4" s="26" t="s">
        <v>44</v>
      </c>
      <c r="H4" s="26" t="s">
        <v>49</v>
      </c>
      <c r="I4" s="26" t="s">
        <v>54</v>
      </c>
      <c r="J4" s="26" t="s">
        <v>59</v>
      </c>
      <c r="L4" s="26" t="s">
        <v>236</v>
      </c>
      <c r="M4" s="26" t="s">
        <v>237</v>
      </c>
      <c r="N4" s="26" t="s">
        <v>238</v>
      </c>
      <c r="O4" s="26" t="s">
        <v>239</v>
      </c>
      <c r="P4" s="26" t="s">
        <v>240</v>
      </c>
      <c r="Q4" s="26" t="s">
        <v>241</v>
      </c>
      <c r="S4" s="29" t="s">
        <v>24</v>
      </c>
      <c r="T4" s="35" t="s">
        <v>405</v>
      </c>
    </row>
    <row r="5" spans="1:21">
      <c r="B5" s="27" t="s">
        <v>7</v>
      </c>
      <c r="C5" s="29" t="s">
        <v>409</v>
      </c>
      <c r="D5" s="28" t="s">
        <v>29</v>
      </c>
      <c r="E5" s="26" t="s">
        <v>35</v>
      </c>
      <c r="F5" s="26" t="s">
        <v>40</v>
      </c>
      <c r="G5" s="26" t="s">
        <v>45</v>
      </c>
      <c r="H5" s="26" t="s">
        <v>50</v>
      </c>
      <c r="I5" s="26" t="s">
        <v>55</v>
      </c>
      <c r="J5" s="26" t="s">
        <v>60</v>
      </c>
      <c r="L5" s="26" t="s">
        <v>242</v>
      </c>
      <c r="M5" s="26" t="s">
        <v>243</v>
      </c>
      <c r="N5" s="26" t="s">
        <v>244</v>
      </c>
      <c r="O5" s="26" t="s">
        <v>245</v>
      </c>
      <c r="P5" s="26" t="s">
        <v>246</v>
      </c>
      <c r="Q5" s="26" t="s">
        <v>247</v>
      </c>
      <c r="S5" s="29" t="s">
        <v>409</v>
      </c>
      <c r="T5" s="35" t="s">
        <v>579</v>
      </c>
    </row>
    <row r="6" spans="1:21">
      <c r="B6" s="27" t="s">
        <v>8</v>
      </c>
      <c r="C6" s="29" t="s">
        <v>25</v>
      </c>
      <c r="D6" s="28" t="s">
        <v>30</v>
      </c>
      <c r="E6" s="26" t="s">
        <v>36</v>
      </c>
      <c r="F6" s="26" t="s">
        <v>41</v>
      </c>
      <c r="G6" s="26" t="s">
        <v>46</v>
      </c>
      <c r="H6" s="26" t="s">
        <v>51</v>
      </c>
      <c r="I6" s="26" t="s">
        <v>56</v>
      </c>
      <c r="J6" s="26" t="s">
        <v>61</v>
      </c>
      <c r="L6" s="26" t="s">
        <v>248</v>
      </c>
      <c r="M6" s="26" t="s">
        <v>249</v>
      </c>
      <c r="N6" s="26" t="s">
        <v>250</v>
      </c>
      <c r="O6" s="26" t="s">
        <v>251</v>
      </c>
      <c r="P6" s="26" t="s">
        <v>252</v>
      </c>
      <c r="Q6" s="26" t="s">
        <v>253</v>
      </c>
      <c r="S6" s="29" t="s">
        <v>25</v>
      </c>
      <c r="T6" s="35" t="s">
        <v>408</v>
      </c>
    </row>
    <row r="7" spans="1:21">
      <c r="B7" s="27" t="s">
        <v>9</v>
      </c>
      <c r="C7" s="29" t="s">
        <v>26</v>
      </c>
      <c r="D7" s="28" t="s">
        <v>31</v>
      </c>
      <c r="E7" s="26" t="s">
        <v>37</v>
      </c>
      <c r="F7" s="26" t="s">
        <v>42</v>
      </c>
      <c r="G7" s="26" t="s">
        <v>47</v>
      </c>
      <c r="H7" s="26" t="s">
        <v>52</v>
      </c>
      <c r="I7" s="26" t="s">
        <v>57</v>
      </c>
      <c r="J7" s="26" t="s">
        <v>62</v>
      </c>
      <c r="L7" s="26" t="s">
        <v>254</v>
      </c>
      <c r="M7" s="26" t="s">
        <v>255</v>
      </c>
      <c r="N7" s="26" t="s">
        <v>256</v>
      </c>
      <c r="O7" s="26" t="s">
        <v>257</v>
      </c>
      <c r="P7" s="26" t="s">
        <v>258</v>
      </c>
      <c r="Q7" s="26" t="s">
        <v>259</v>
      </c>
      <c r="S7" s="29" t="s">
        <v>26</v>
      </c>
      <c r="T7" s="35" t="s">
        <v>26</v>
      </c>
    </row>
    <row r="8" spans="1:21">
      <c r="B8" s="27" t="s">
        <v>10</v>
      </c>
      <c r="C8" s="29" t="s">
        <v>406</v>
      </c>
      <c r="D8" s="28" t="s">
        <v>32</v>
      </c>
      <c r="S8" s="29" t="s">
        <v>406</v>
      </c>
      <c r="T8" s="35" t="s">
        <v>410</v>
      </c>
    </row>
    <row r="9" spans="1:21">
      <c r="B9" s="27" t="s">
        <v>11</v>
      </c>
      <c r="E9" t="s">
        <v>134</v>
      </c>
      <c r="F9" t="s">
        <v>135</v>
      </c>
      <c r="G9" t="s">
        <v>136</v>
      </c>
      <c r="H9" t="s">
        <v>137</v>
      </c>
      <c r="I9" t="s">
        <v>138</v>
      </c>
      <c r="J9" t="s">
        <v>139</v>
      </c>
      <c r="L9" t="s">
        <v>260</v>
      </c>
      <c r="M9" t="s">
        <v>261</v>
      </c>
      <c r="N9" t="s">
        <v>262</v>
      </c>
      <c r="O9" t="s">
        <v>263</v>
      </c>
      <c r="P9" t="s">
        <v>264</v>
      </c>
      <c r="Q9" t="s">
        <v>265</v>
      </c>
    </row>
    <row r="10" spans="1:21">
      <c r="B10" s="27" t="s">
        <v>12</v>
      </c>
      <c r="E10" s="26" t="s">
        <v>74</v>
      </c>
      <c r="F10" s="26" t="s">
        <v>434</v>
      </c>
      <c r="G10" s="26" t="s">
        <v>435</v>
      </c>
      <c r="H10" s="26" t="s">
        <v>436</v>
      </c>
      <c r="I10" s="26" t="s">
        <v>437</v>
      </c>
      <c r="J10" s="26" t="s">
        <v>438</v>
      </c>
      <c r="L10" s="26" t="s">
        <v>266</v>
      </c>
      <c r="M10" s="26" t="s">
        <v>439</v>
      </c>
      <c r="N10" s="26" t="s">
        <v>440</v>
      </c>
      <c r="O10" s="26" t="s">
        <v>441</v>
      </c>
      <c r="P10" s="26" t="s">
        <v>442</v>
      </c>
      <c r="Q10" s="26" t="s">
        <v>443</v>
      </c>
    </row>
    <row r="11" spans="1:21">
      <c r="B11" s="27" t="s">
        <v>13</v>
      </c>
      <c r="E11" s="26" t="s">
        <v>80</v>
      </c>
      <c r="F11" s="26" t="s">
        <v>81</v>
      </c>
      <c r="G11" s="26" t="s">
        <v>82</v>
      </c>
      <c r="H11" s="26" t="s">
        <v>83</v>
      </c>
      <c r="I11" s="26" t="s">
        <v>84</v>
      </c>
      <c r="J11" s="26" t="s">
        <v>85</v>
      </c>
      <c r="L11" s="26" t="s">
        <v>272</v>
      </c>
      <c r="M11" s="26" t="s">
        <v>273</v>
      </c>
      <c r="N11" s="26" t="s">
        <v>274</v>
      </c>
      <c r="O11" s="26" t="s">
        <v>275</v>
      </c>
      <c r="P11" s="26" t="s">
        <v>276</v>
      </c>
      <c r="Q11" s="26" t="s">
        <v>277</v>
      </c>
      <c r="S11" s="29" t="s">
        <v>494</v>
      </c>
    </row>
    <row r="12" spans="1:21">
      <c r="B12" s="27" t="s">
        <v>14</v>
      </c>
      <c r="E12" s="26" t="s">
        <v>86</v>
      </c>
      <c r="F12" s="26" t="s">
        <v>87</v>
      </c>
      <c r="G12" s="26" t="s">
        <v>88</v>
      </c>
      <c r="H12" s="26" t="s">
        <v>89</v>
      </c>
      <c r="I12" s="26" t="s">
        <v>90</v>
      </c>
      <c r="J12" s="26" t="s">
        <v>91</v>
      </c>
      <c r="L12" s="26" t="s">
        <v>278</v>
      </c>
      <c r="M12" s="26" t="s">
        <v>279</v>
      </c>
      <c r="N12" s="26" t="s">
        <v>280</v>
      </c>
      <c r="O12" s="26" t="s">
        <v>281</v>
      </c>
      <c r="P12" s="26" t="s">
        <v>282</v>
      </c>
      <c r="Q12" s="26" t="s">
        <v>283</v>
      </c>
    </row>
    <row r="13" spans="1:21">
      <c r="A13" s="35" t="s">
        <v>64</v>
      </c>
      <c r="E13" s="26" t="s">
        <v>92</v>
      </c>
      <c r="F13" s="26" t="s">
        <v>93</v>
      </c>
      <c r="G13" s="26" t="s">
        <v>94</v>
      </c>
      <c r="H13" s="26" t="s">
        <v>95</v>
      </c>
      <c r="I13" s="26" t="s">
        <v>96</v>
      </c>
      <c r="J13" s="26" t="s">
        <v>97</v>
      </c>
      <c r="L13" s="26" t="s">
        <v>284</v>
      </c>
      <c r="M13" s="26" t="s">
        <v>285</v>
      </c>
      <c r="N13" s="26" t="s">
        <v>286</v>
      </c>
      <c r="O13" s="26" t="s">
        <v>287</v>
      </c>
      <c r="P13" s="26" t="s">
        <v>288</v>
      </c>
      <c r="Q13" s="26" t="s">
        <v>289</v>
      </c>
    </row>
    <row r="14" spans="1:21">
      <c r="A14" s="32" t="s">
        <v>494</v>
      </c>
      <c r="E14" s="26" t="s">
        <v>98</v>
      </c>
      <c r="F14" s="26" t="s">
        <v>99</v>
      </c>
      <c r="G14" s="26" t="s">
        <v>100</v>
      </c>
      <c r="H14" s="26" t="s">
        <v>101</v>
      </c>
      <c r="I14" s="26" t="s">
        <v>102</v>
      </c>
      <c r="J14" s="26" t="s">
        <v>103</v>
      </c>
      <c r="L14" s="26" t="s">
        <v>290</v>
      </c>
      <c r="M14" s="26" t="s">
        <v>291</v>
      </c>
      <c r="N14" s="26" t="s">
        <v>292</v>
      </c>
      <c r="O14" s="26" t="s">
        <v>293</v>
      </c>
      <c r="P14" s="26" t="s">
        <v>294</v>
      </c>
      <c r="Q14" s="26" t="s">
        <v>295</v>
      </c>
    </row>
    <row r="15" spans="1:21">
      <c r="A15" s="64" t="s">
        <v>495</v>
      </c>
      <c r="U15" s="100"/>
    </row>
    <row r="16" spans="1:21">
      <c r="A16" s="34" t="s">
        <v>506</v>
      </c>
      <c r="E16" t="s">
        <v>146</v>
      </c>
      <c r="F16" t="s">
        <v>147</v>
      </c>
      <c r="G16" t="s">
        <v>148</v>
      </c>
      <c r="H16" t="s">
        <v>149</v>
      </c>
      <c r="I16" t="s">
        <v>150</v>
      </c>
      <c r="J16" t="s">
        <v>151</v>
      </c>
      <c r="L16" t="s">
        <v>296</v>
      </c>
      <c r="M16" t="s">
        <v>297</v>
      </c>
      <c r="N16" t="s">
        <v>298</v>
      </c>
      <c r="O16" t="s">
        <v>299</v>
      </c>
      <c r="P16" t="s">
        <v>300</v>
      </c>
      <c r="Q16" t="s">
        <v>301</v>
      </c>
    </row>
    <row r="17" spans="1:17">
      <c r="A17" s="34" t="s">
        <v>507</v>
      </c>
      <c r="E17" s="26" t="s">
        <v>104</v>
      </c>
      <c r="F17" s="26" t="s">
        <v>469</v>
      </c>
      <c r="G17" s="26" t="s">
        <v>470</v>
      </c>
      <c r="H17" s="26" t="s">
        <v>471</v>
      </c>
      <c r="I17" s="26" t="s">
        <v>472</v>
      </c>
      <c r="J17" s="26" t="s">
        <v>473</v>
      </c>
      <c r="L17" s="26" t="s">
        <v>302</v>
      </c>
      <c r="M17" s="26" t="s">
        <v>444</v>
      </c>
      <c r="N17" s="26" t="s">
        <v>445</v>
      </c>
      <c r="O17" s="26" t="s">
        <v>446</v>
      </c>
      <c r="P17" s="26" t="s">
        <v>447</v>
      </c>
      <c r="Q17" s="26" t="s">
        <v>448</v>
      </c>
    </row>
    <row r="18" spans="1:17">
      <c r="A18" s="34" t="s">
        <v>508</v>
      </c>
      <c r="C18" s="31"/>
      <c r="E18" s="26" t="s">
        <v>110</v>
      </c>
      <c r="F18" s="26" t="s">
        <v>111</v>
      </c>
      <c r="G18" s="26" t="s">
        <v>112</v>
      </c>
      <c r="H18" s="26" t="s">
        <v>113</v>
      </c>
      <c r="I18" s="26" t="s">
        <v>114</v>
      </c>
      <c r="J18" s="26" t="s">
        <v>115</v>
      </c>
      <c r="L18" s="26" t="s">
        <v>308</v>
      </c>
      <c r="M18" s="26" t="s">
        <v>309</v>
      </c>
      <c r="N18" s="26" t="s">
        <v>310</v>
      </c>
      <c r="O18" s="26" t="s">
        <v>311</v>
      </c>
      <c r="P18" s="26" t="s">
        <v>312</v>
      </c>
      <c r="Q18" s="26" t="s">
        <v>313</v>
      </c>
    </row>
    <row r="19" spans="1:17">
      <c r="A19" s="34" t="s">
        <v>509</v>
      </c>
      <c r="E19" s="26" t="s">
        <v>116</v>
      </c>
      <c r="F19" s="26" t="s">
        <v>117</v>
      </c>
      <c r="G19" s="26" t="s">
        <v>118</v>
      </c>
      <c r="H19" s="26" t="s">
        <v>119</v>
      </c>
      <c r="I19" s="26" t="s">
        <v>120</v>
      </c>
      <c r="J19" s="26" t="s">
        <v>121</v>
      </c>
      <c r="L19" s="26" t="s">
        <v>314</v>
      </c>
      <c r="M19" s="26" t="s">
        <v>315</v>
      </c>
      <c r="N19" s="26" t="s">
        <v>316</v>
      </c>
      <c r="O19" s="26" t="s">
        <v>317</v>
      </c>
      <c r="P19" s="26" t="s">
        <v>318</v>
      </c>
      <c r="Q19" s="26" t="s">
        <v>319</v>
      </c>
    </row>
    <row r="20" spans="1:17">
      <c r="E20" s="26" t="s">
        <v>122</v>
      </c>
      <c r="F20" s="26" t="s">
        <v>123</v>
      </c>
      <c r="G20" s="26" t="s">
        <v>124</v>
      </c>
      <c r="H20" s="26" t="s">
        <v>125</v>
      </c>
      <c r="I20" s="26" t="s">
        <v>126</v>
      </c>
      <c r="J20" s="26" t="s">
        <v>127</v>
      </c>
      <c r="L20" s="26" t="s">
        <v>320</v>
      </c>
      <c r="M20" s="26" t="s">
        <v>321</v>
      </c>
      <c r="N20" s="26" t="s">
        <v>322</v>
      </c>
      <c r="O20" s="26" t="s">
        <v>323</v>
      </c>
      <c r="P20" s="26" t="s">
        <v>324</v>
      </c>
      <c r="Q20" s="26" t="s">
        <v>325</v>
      </c>
    </row>
    <row r="21" spans="1:17">
      <c r="A21" s="35" t="s">
        <v>405</v>
      </c>
      <c r="E21" s="26" t="s">
        <v>128</v>
      </c>
      <c r="F21" s="26" t="s">
        <v>129</v>
      </c>
      <c r="G21" s="26" t="s">
        <v>130</v>
      </c>
      <c r="H21" s="26" t="s">
        <v>131</v>
      </c>
      <c r="I21" s="26" t="s">
        <v>132</v>
      </c>
      <c r="J21" s="26" t="s">
        <v>133</v>
      </c>
      <c r="L21" s="26" t="s">
        <v>326</v>
      </c>
      <c r="M21" s="26" t="s">
        <v>327</v>
      </c>
      <c r="N21" s="26" t="s">
        <v>328</v>
      </c>
      <c r="O21" s="26" t="s">
        <v>329</v>
      </c>
      <c r="P21" s="26" t="s">
        <v>330</v>
      </c>
      <c r="Q21" s="26" t="s">
        <v>331</v>
      </c>
    </row>
    <row r="22" spans="1:17">
      <c r="A22" s="32" t="s">
        <v>494</v>
      </c>
    </row>
    <row r="23" spans="1:17">
      <c r="A23" t="s">
        <v>512</v>
      </c>
      <c r="E23" t="s">
        <v>182</v>
      </c>
      <c r="F23" t="s">
        <v>183</v>
      </c>
      <c r="G23" t="s">
        <v>184</v>
      </c>
      <c r="H23" t="s">
        <v>185</v>
      </c>
      <c r="I23" t="s">
        <v>186</v>
      </c>
      <c r="J23" t="s">
        <v>187</v>
      </c>
      <c r="L23" t="s">
        <v>332</v>
      </c>
      <c r="M23" t="s">
        <v>333</v>
      </c>
      <c r="N23" t="s">
        <v>334</v>
      </c>
      <c r="O23" t="s">
        <v>335</v>
      </c>
      <c r="P23" t="s">
        <v>336</v>
      </c>
      <c r="Q23" t="s">
        <v>337</v>
      </c>
    </row>
    <row r="24" spans="1:17">
      <c r="A24" t="s">
        <v>510</v>
      </c>
      <c r="C24" s="32"/>
      <c r="E24" s="26" t="s">
        <v>152</v>
      </c>
      <c r="F24" s="26" t="s">
        <v>464</v>
      </c>
      <c r="G24" s="26" t="s">
        <v>465</v>
      </c>
      <c r="H24" s="26" t="s">
        <v>466</v>
      </c>
      <c r="I24" s="26" t="s">
        <v>468</v>
      </c>
      <c r="J24" s="26" t="s">
        <v>467</v>
      </c>
      <c r="L24" s="26" t="s">
        <v>338</v>
      </c>
      <c r="M24" s="26" t="s">
        <v>449</v>
      </c>
      <c r="N24" s="26" t="s">
        <v>450</v>
      </c>
      <c r="O24" s="26" t="s">
        <v>451</v>
      </c>
      <c r="P24" s="26" t="s">
        <v>452</v>
      </c>
      <c r="Q24" s="26" t="s">
        <v>453</v>
      </c>
    </row>
    <row r="25" spans="1:17">
      <c r="A25" t="s">
        <v>511</v>
      </c>
      <c r="C25" s="1"/>
      <c r="E25" s="26" t="s">
        <v>158</v>
      </c>
      <c r="F25" s="26" t="s">
        <v>159</v>
      </c>
      <c r="G25" s="26" t="s">
        <v>160</v>
      </c>
      <c r="H25" s="26" t="s">
        <v>161</v>
      </c>
      <c r="I25" s="26" t="s">
        <v>162</v>
      </c>
      <c r="J25" s="26" t="s">
        <v>163</v>
      </c>
      <c r="L25" s="26" t="s">
        <v>344</v>
      </c>
      <c r="M25" s="26" t="s">
        <v>345</v>
      </c>
      <c r="N25" s="26" t="s">
        <v>346</v>
      </c>
      <c r="O25" s="26" t="s">
        <v>347</v>
      </c>
      <c r="P25" s="26" t="s">
        <v>348</v>
      </c>
      <c r="Q25" s="26" t="s">
        <v>349</v>
      </c>
    </row>
    <row r="26" spans="1:17">
      <c r="A26" s="58" t="s">
        <v>509</v>
      </c>
      <c r="E26" s="26" t="s">
        <v>164</v>
      </c>
      <c r="F26" s="26" t="s">
        <v>165</v>
      </c>
      <c r="G26" s="26" t="s">
        <v>166</v>
      </c>
      <c r="H26" s="26" t="s">
        <v>167</v>
      </c>
      <c r="I26" s="26" t="s">
        <v>168</v>
      </c>
      <c r="J26" s="26" t="s">
        <v>169</v>
      </c>
      <c r="L26" s="26" t="s">
        <v>350</v>
      </c>
      <c r="M26" s="26" t="s">
        <v>351</v>
      </c>
      <c r="N26" s="26" t="s">
        <v>352</v>
      </c>
      <c r="O26" s="26" t="s">
        <v>353</v>
      </c>
      <c r="P26" s="26" t="s">
        <v>354</v>
      </c>
      <c r="Q26" s="26" t="s">
        <v>355</v>
      </c>
    </row>
    <row r="27" spans="1:17">
      <c r="E27" s="26" t="s">
        <v>170</v>
      </c>
      <c r="F27" s="26" t="s">
        <v>171</v>
      </c>
      <c r="G27" s="26" t="s">
        <v>172</v>
      </c>
      <c r="H27" s="26" t="s">
        <v>173</v>
      </c>
      <c r="I27" s="26" t="s">
        <v>174</v>
      </c>
      <c r="J27" s="26" t="s">
        <v>175</v>
      </c>
      <c r="L27" s="26" t="s">
        <v>356</v>
      </c>
      <c r="M27" s="26" t="s">
        <v>357</v>
      </c>
      <c r="N27" s="26" t="s">
        <v>358</v>
      </c>
      <c r="O27" s="26" t="s">
        <v>359</v>
      </c>
      <c r="P27" s="26" t="s">
        <v>360</v>
      </c>
      <c r="Q27" s="26" t="s">
        <v>361</v>
      </c>
    </row>
    <row r="28" spans="1:17">
      <c r="A28" s="35" t="s">
        <v>407</v>
      </c>
      <c r="E28" s="26" t="s">
        <v>176</v>
      </c>
      <c r="F28" s="26" t="s">
        <v>177</v>
      </c>
      <c r="G28" s="26" t="s">
        <v>178</v>
      </c>
      <c r="H28" s="26" t="s">
        <v>179</v>
      </c>
      <c r="I28" s="26" t="s">
        <v>180</v>
      </c>
      <c r="J28" s="26" t="s">
        <v>181</v>
      </c>
      <c r="L28" s="26" t="s">
        <v>362</v>
      </c>
      <c r="M28" s="26" t="s">
        <v>363</v>
      </c>
      <c r="N28" s="26" t="s">
        <v>364</v>
      </c>
      <c r="O28" s="26" t="s">
        <v>365</v>
      </c>
      <c r="P28" s="26" t="s">
        <v>366</v>
      </c>
      <c r="Q28" s="26" t="s">
        <v>367</v>
      </c>
    </row>
    <row r="29" spans="1:17">
      <c r="A29" s="33" t="s">
        <v>404</v>
      </c>
    </row>
    <row r="30" spans="1:17">
      <c r="A30" t="s">
        <v>65</v>
      </c>
      <c r="E30" t="s">
        <v>188</v>
      </c>
      <c r="F30" t="s">
        <v>189</v>
      </c>
      <c r="G30" t="s">
        <v>190</v>
      </c>
      <c r="H30" t="s">
        <v>191</v>
      </c>
      <c r="I30" t="s">
        <v>192</v>
      </c>
      <c r="J30" t="s">
        <v>193</v>
      </c>
      <c r="L30" t="s">
        <v>368</v>
      </c>
      <c r="M30" t="s">
        <v>369</v>
      </c>
      <c r="N30" t="s">
        <v>370</v>
      </c>
      <c r="O30" t="s">
        <v>371</v>
      </c>
      <c r="P30" t="s">
        <v>372</v>
      </c>
      <c r="Q30" t="s">
        <v>373</v>
      </c>
    </row>
    <row r="31" spans="1:17">
      <c r="A31" s="1" t="s">
        <v>66</v>
      </c>
      <c r="E31" s="26" t="s">
        <v>194</v>
      </c>
      <c r="F31" s="26" t="s">
        <v>459</v>
      </c>
      <c r="G31" s="26" t="s">
        <v>460</v>
      </c>
      <c r="H31" s="26" t="s">
        <v>461</v>
      </c>
      <c r="I31" s="26" t="s">
        <v>462</v>
      </c>
      <c r="J31" s="26" t="s">
        <v>463</v>
      </c>
      <c r="L31" s="26" t="s">
        <v>374</v>
      </c>
      <c r="M31" s="26" t="s">
        <v>454</v>
      </c>
      <c r="N31" s="26" t="s">
        <v>455</v>
      </c>
      <c r="O31" s="26" t="s">
        <v>456</v>
      </c>
      <c r="P31" s="26" t="s">
        <v>457</v>
      </c>
      <c r="Q31" s="26" t="s">
        <v>458</v>
      </c>
    </row>
    <row r="32" spans="1:17">
      <c r="E32" s="26" t="s">
        <v>200</v>
      </c>
      <c r="F32" s="26" t="s">
        <v>201</v>
      </c>
      <c r="G32" s="26" t="s">
        <v>202</v>
      </c>
      <c r="H32" s="26" t="s">
        <v>203</v>
      </c>
      <c r="I32" s="26" t="s">
        <v>204</v>
      </c>
      <c r="J32" s="26" t="s">
        <v>205</v>
      </c>
      <c r="L32" s="26" t="s">
        <v>380</v>
      </c>
      <c r="M32" s="26" t="s">
        <v>381</v>
      </c>
      <c r="N32" s="26" t="s">
        <v>382</v>
      </c>
      <c r="O32" s="26" t="s">
        <v>383</v>
      </c>
      <c r="P32" s="26" t="s">
        <v>384</v>
      </c>
      <c r="Q32" s="26" t="s">
        <v>385</v>
      </c>
    </row>
    <row r="33" spans="1:18">
      <c r="E33" s="26" t="s">
        <v>206</v>
      </c>
      <c r="F33" s="26" t="s">
        <v>207</v>
      </c>
      <c r="G33" s="26" t="s">
        <v>208</v>
      </c>
      <c r="H33" s="26" t="s">
        <v>209</v>
      </c>
      <c r="I33" s="26" t="s">
        <v>210</v>
      </c>
      <c r="J33" s="26" t="s">
        <v>211</v>
      </c>
      <c r="L33" s="26" t="s">
        <v>386</v>
      </c>
      <c r="M33" s="26" t="s">
        <v>387</v>
      </c>
      <c r="N33" s="26" t="s">
        <v>388</v>
      </c>
      <c r="O33" s="26" t="s">
        <v>389</v>
      </c>
      <c r="P33" s="26" t="s">
        <v>390</v>
      </c>
      <c r="Q33" s="26" t="s">
        <v>391</v>
      </c>
    </row>
    <row r="34" spans="1:18">
      <c r="A34" s="35" t="s">
        <v>408</v>
      </c>
      <c r="B34" s="35"/>
      <c r="E34" s="26" t="s">
        <v>212</v>
      </c>
      <c r="F34" s="26" t="s">
        <v>213</v>
      </c>
      <c r="G34" s="26" t="s">
        <v>214</v>
      </c>
      <c r="H34" s="26" t="s">
        <v>215</v>
      </c>
      <c r="I34" s="26" t="s">
        <v>216</v>
      </c>
      <c r="J34" s="26" t="s">
        <v>217</v>
      </c>
      <c r="L34" s="26" t="s">
        <v>392</v>
      </c>
      <c r="M34" s="26" t="s">
        <v>393</v>
      </c>
      <c r="N34" s="26" t="s">
        <v>394</v>
      </c>
      <c r="O34" s="26" t="s">
        <v>395</v>
      </c>
      <c r="P34" s="26" t="s">
        <v>396</v>
      </c>
      <c r="Q34" s="26" t="s">
        <v>397</v>
      </c>
    </row>
    <row r="35" spans="1:18">
      <c r="A35" t="s">
        <v>479</v>
      </c>
      <c r="E35" s="26" t="s">
        <v>218</v>
      </c>
      <c r="F35" s="26" t="s">
        <v>219</v>
      </c>
      <c r="G35" s="26" t="s">
        <v>220</v>
      </c>
      <c r="H35" s="26" t="s">
        <v>221</v>
      </c>
      <c r="I35" s="26" t="s">
        <v>222</v>
      </c>
      <c r="J35" s="26" t="s">
        <v>223</v>
      </c>
      <c r="L35" s="26" t="s">
        <v>398</v>
      </c>
      <c r="M35" s="26" t="s">
        <v>399</v>
      </c>
      <c r="N35" s="26" t="s">
        <v>400</v>
      </c>
      <c r="O35" s="26" t="s">
        <v>401</v>
      </c>
      <c r="P35" s="26" t="s">
        <v>402</v>
      </c>
      <c r="Q35" s="26" t="s">
        <v>403</v>
      </c>
    </row>
    <row r="36" spans="1:18">
      <c r="A36" t="s">
        <v>482</v>
      </c>
    </row>
    <row r="37" spans="1:18">
      <c r="A37" s="1" t="s">
        <v>67</v>
      </c>
    </row>
    <row r="38" spans="1:18" ht="19.5">
      <c r="A38" t="s">
        <v>68</v>
      </c>
      <c r="E38" s="62" t="s">
        <v>493</v>
      </c>
      <c r="K38" s="62" t="s">
        <v>493</v>
      </c>
      <c r="N38" s="68" t="s">
        <v>539</v>
      </c>
      <c r="Q38" t="s">
        <v>620</v>
      </c>
      <c r="R38" s="63" t="s">
        <v>535</v>
      </c>
    </row>
    <row r="39" spans="1:18" ht="21">
      <c r="A39" s="34" t="s">
        <v>69</v>
      </c>
      <c r="E39" s="63" t="s">
        <v>530</v>
      </c>
      <c r="F39" t="s">
        <v>624</v>
      </c>
      <c r="K39" t="s">
        <v>620</v>
      </c>
      <c r="L39" s="63" t="s">
        <v>535</v>
      </c>
      <c r="N39" s="69" t="str">
        <f>VLOOKUP('Cover page'!D17,K39:L43,2,FALSE)</f>
        <v>Pr.Axis1</v>
      </c>
      <c r="Q39" t="s">
        <v>621</v>
      </c>
      <c r="R39" s="63" t="s">
        <v>541</v>
      </c>
    </row>
    <row r="40" spans="1:18">
      <c r="A40" s="34" t="s">
        <v>70</v>
      </c>
      <c r="E40" s="63" t="s">
        <v>532</v>
      </c>
      <c r="F40" t="s">
        <v>623</v>
      </c>
      <c r="K40" t="s">
        <v>621</v>
      </c>
      <c r="L40" s="63" t="s">
        <v>536</v>
      </c>
      <c r="Q40" t="s">
        <v>629</v>
      </c>
      <c r="R40" s="63" t="s">
        <v>538</v>
      </c>
    </row>
    <row r="41" spans="1:18">
      <c r="A41" s="1" t="s">
        <v>481</v>
      </c>
      <c r="E41" s="63" t="s">
        <v>531</v>
      </c>
      <c r="F41" t="s">
        <v>630</v>
      </c>
      <c r="K41" t="s">
        <v>629</v>
      </c>
      <c r="L41" s="63" t="s">
        <v>537</v>
      </c>
      <c r="Q41" t="s">
        <v>622</v>
      </c>
    </row>
    <row r="42" spans="1:18">
      <c r="A42" s="58" t="s">
        <v>480</v>
      </c>
      <c r="E42" s="63" t="s">
        <v>533</v>
      </c>
      <c r="F42" t="s">
        <v>534</v>
      </c>
      <c r="K42" t="s">
        <v>622</v>
      </c>
      <c r="L42" s="63" t="s">
        <v>538</v>
      </c>
    </row>
    <row r="43" spans="1:18">
      <c r="E43" s="63"/>
      <c r="L43" s="63"/>
    </row>
    <row r="45" spans="1:18">
      <c r="A45" s="35" t="s">
        <v>26</v>
      </c>
    </row>
    <row r="46" spans="1:18" ht="15.75" thickBot="1">
      <c r="A46" t="s">
        <v>483</v>
      </c>
    </row>
    <row r="47" spans="1:18" ht="15.75" thickBot="1">
      <c r="A47" t="s">
        <v>484</v>
      </c>
      <c r="E47" s="62" t="s">
        <v>641</v>
      </c>
      <c r="F47" t="s">
        <v>558</v>
      </c>
      <c r="G47" t="s">
        <v>556</v>
      </c>
      <c r="H47" t="s">
        <v>554</v>
      </c>
      <c r="I47" t="s">
        <v>555</v>
      </c>
      <c r="M47" s="86" t="s">
        <v>549</v>
      </c>
      <c r="N47" s="265">
        <v>250000</v>
      </c>
      <c r="O47" s="87">
        <v>1500000</v>
      </c>
    </row>
    <row r="48" spans="1:18" ht="27" thickBot="1">
      <c r="A48" t="s">
        <v>489</v>
      </c>
      <c r="D48" s="76" t="s">
        <v>633</v>
      </c>
      <c r="E48" s="148" t="s">
        <v>632</v>
      </c>
      <c r="F48" s="76" t="s">
        <v>625</v>
      </c>
      <c r="G48" s="76" t="s">
        <v>547</v>
      </c>
      <c r="H48" s="76" t="s">
        <v>548</v>
      </c>
      <c r="I48" s="76"/>
      <c r="M48" s="88" t="s">
        <v>550</v>
      </c>
      <c r="N48" s="266"/>
      <c r="O48" s="89">
        <v>1500000</v>
      </c>
    </row>
    <row r="49" spans="1:15" ht="27" thickBot="1">
      <c r="A49" t="s">
        <v>485</v>
      </c>
      <c r="D49" s="76" t="s">
        <v>634</v>
      </c>
      <c r="E49" s="148" t="s">
        <v>642</v>
      </c>
      <c r="F49" s="76" t="s">
        <v>546</v>
      </c>
      <c r="G49" s="76" t="s">
        <v>547</v>
      </c>
      <c r="H49" s="76" t="s">
        <v>548</v>
      </c>
      <c r="I49" s="76"/>
      <c r="M49" s="88" t="s">
        <v>551</v>
      </c>
      <c r="N49" s="266"/>
      <c r="O49" s="89">
        <v>900000</v>
      </c>
    </row>
    <row r="50" spans="1:15" ht="31.5" customHeight="1" thickBot="1">
      <c r="A50" t="s">
        <v>486</v>
      </c>
      <c r="D50" s="76" t="s">
        <v>635</v>
      </c>
      <c r="E50" s="148" t="s">
        <v>643</v>
      </c>
      <c r="F50" s="76" t="s">
        <v>549</v>
      </c>
      <c r="G50" s="76">
        <v>0</v>
      </c>
      <c r="H50" s="90">
        <v>0</v>
      </c>
      <c r="I50" s="90"/>
      <c r="M50" s="88" t="s">
        <v>552</v>
      </c>
      <c r="N50" s="266"/>
      <c r="O50" s="89">
        <v>1500000</v>
      </c>
    </row>
    <row r="51" spans="1:15" ht="39.75" thickBot="1">
      <c r="A51" t="s">
        <v>487</v>
      </c>
      <c r="D51" s="76" t="s">
        <v>636</v>
      </c>
      <c r="E51" s="148" t="s">
        <v>644</v>
      </c>
      <c r="F51" s="76" t="s">
        <v>550</v>
      </c>
      <c r="G51" s="76" t="s">
        <v>547</v>
      </c>
      <c r="H51" s="92">
        <v>1500000</v>
      </c>
      <c r="I51" s="76"/>
      <c r="M51" s="88" t="s">
        <v>553</v>
      </c>
      <c r="N51" s="267"/>
      <c r="O51" s="89">
        <v>650000</v>
      </c>
    </row>
    <row r="52" spans="1:15" ht="15" customHeight="1">
      <c r="A52" t="s">
        <v>488</v>
      </c>
      <c r="D52" s="76" t="s">
        <v>637</v>
      </c>
      <c r="E52" s="151" t="s">
        <v>645</v>
      </c>
      <c r="F52" s="76" t="s">
        <v>551</v>
      </c>
      <c r="G52" s="76" t="s">
        <v>547</v>
      </c>
      <c r="H52" s="92">
        <v>1500000</v>
      </c>
      <c r="I52" s="76"/>
    </row>
    <row r="53" spans="1:15">
      <c r="A53" t="s">
        <v>490</v>
      </c>
      <c r="D53" s="76" t="s">
        <v>638</v>
      </c>
      <c r="E53" s="148" t="s">
        <v>646</v>
      </c>
      <c r="F53" s="76" t="s">
        <v>626</v>
      </c>
      <c r="G53" s="76" t="s">
        <v>547</v>
      </c>
      <c r="H53" s="92">
        <v>900000</v>
      </c>
      <c r="I53" s="76"/>
    </row>
    <row r="54" spans="1:15" ht="26.25">
      <c r="D54" s="76" t="s">
        <v>639</v>
      </c>
      <c r="E54" s="148" t="s">
        <v>647</v>
      </c>
      <c r="F54" s="76" t="s">
        <v>627</v>
      </c>
      <c r="G54" s="76">
        <v>0</v>
      </c>
      <c r="H54" s="93">
        <v>0</v>
      </c>
      <c r="I54" s="91"/>
    </row>
    <row r="55" spans="1:15" ht="15.75" customHeight="1" thickBot="1">
      <c r="D55" s="76" t="s">
        <v>640</v>
      </c>
      <c r="E55" s="148" t="s">
        <v>648</v>
      </c>
      <c r="F55" s="76" t="s">
        <v>628</v>
      </c>
      <c r="G55" s="76" t="s">
        <v>547</v>
      </c>
      <c r="H55" s="94">
        <v>1500000</v>
      </c>
      <c r="I55" s="76"/>
    </row>
    <row r="56" spans="1:15" ht="15.75" thickBot="1">
      <c r="A56" s="35" t="s">
        <v>410</v>
      </c>
      <c r="D56" s="76"/>
      <c r="E56" s="149"/>
      <c r="F56" s="76"/>
      <c r="G56" s="76"/>
      <c r="H56" s="94"/>
      <c r="I56" s="76"/>
    </row>
    <row r="57" spans="1:15">
      <c r="A57" t="s">
        <v>72</v>
      </c>
      <c r="D57" s="76"/>
      <c r="E57" s="150"/>
      <c r="F57" s="76"/>
      <c r="G57" s="76"/>
      <c r="H57" s="76"/>
      <c r="I57" s="76"/>
    </row>
    <row r="58" spans="1:15">
      <c r="A58" t="s">
        <v>71</v>
      </c>
    </row>
    <row r="59" spans="1:15">
      <c r="A59" s="1" t="s">
        <v>73</v>
      </c>
    </row>
    <row r="60" spans="1:15">
      <c r="A60" t="s">
        <v>480</v>
      </c>
    </row>
    <row r="63" spans="1:15" ht="15.75" thickBot="1">
      <c r="K63" s="155"/>
      <c r="L63" s="153"/>
    </row>
    <row r="64" spans="1:15" ht="45.75" thickBot="1">
      <c r="E64" s="73" t="s">
        <v>641</v>
      </c>
      <c r="F64" s="74" t="s">
        <v>543</v>
      </c>
      <c r="G64" s="74" t="s">
        <v>544</v>
      </c>
      <c r="H64" s="74" t="s">
        <v>545</v>
      </c>
      <c r="K64" s="155"/>
      <c r="L64" s="153"/>
    </row>
    <row r="65" spans="5:12" ht="15.75" thickBot="1">
      <c r="E65" s="152" t="s">
        <v>633</v>
      </c>
      <c r="F65" s="157">
        <v>600000</v>
      </c>
      <c r="G65" s="157">
        <v>1000000</v>
      </c>
      <c r="H65" s="157">
        <v>1000000</v>
      </c>
      <c r="K65" s="264"/>
      <c r="L65" s="154"/>
    </row>
    <row r="66" spans="5:12" ht="15.75" thickBot="1">
      <c r="E66" s="152" t="s">
        <v>634</v>
      </c>
      <c r="F66" s="157">
        <v>600000</v>
      </c>
      <c r="G66" s="157">
        <v>1000000</v>
      </c>
      <c r="H66" s="157">
        <v>1000000</v>
      </c>
      <c r="K66" s="264"/>
      <c r="L66" s="154"/>
    </row>
    <row r="67" spans="5:12" ht="15.75" thickBot="1">
      <c r="E67" s="152" t="s">
        <v>635</v>
      </c>
      <c r="F67" s="157">
        <v>600000</v>
      </c>
      <c r="G67" s="157">
        <v>1000000</v>
      </c>
      <c r="H67" s="157">
        <v>3000000</v>
      </c>
      <c r="K67" s="264"/>
      <c r="L67" s="154"/>
    </row>
    <row r="68" spans="5:12" ht="15.75" thickBot="1">
      <c r="E68" s="152" t="s">
        <v>636</v>
      </c>
      <c r="F68" s="157">
        <v>600000</v>
      </c>
      <c r="G68" s="157">
        <v>1000000</v>
      </c>
      <c r="H68" s="157">
        <v>3000000</v>
      </c>
      <c r="K68" s="264"/>
      <c r="L68" s="154"/>
    </row>
    <row r="69" spans="5:12" ht="15.75" thickBot="1">
      <c r="E69" s="152" t="s">
        <v>637</v>
      </c>
      <c r="F69" s="157">
        <v>600000</v>
      </c>
      <c r="G69" s="157">
        <v>1000000</v>
      </c>
      <c r="H69" s="157">
        <v>1000000</v>
      </c>
      <c r="K69" s="155"/>
      <c r="L69" s="153"/>
    </row>
    <row r="70" spans="5:12" ht="15.75" thickBot="1">
      <c r="E70" s="152" t="s">
        <v>638</v>
      </c>
      <c r="F70" s="157">
        <v>600000</v>
      </c>
      <c r="G70" s="157">
        <v>1000000</v>
      </c>
      <c r="H70" s="157">
        <v>3000000</v>
      </c>
      <c r="K70" s="264"/>
      <c r="L70" s="154"/>
    </row>
    <row r="71" spans="5:12" ht="15.75" thickBot="1">
      <c r="E71" s="152" t="s">
        <v>639</v>
      </c>
      <c r="F71" s="157">
        <v>600000</v>
      </c>
      <c r="G71" s="157">
        <v>1000000</v>
      </c>
      <c r="H71" s="157">
        <v>1000000</v>
      </c>
      <c r="K71" s="264"/>
      <c r="L71" s="154"/>
    </row>
    <row r="72" spans="5:12">
      <c r="K72" s="155"/>
      <c r="L72" s="154"/>
    </row>
    <row r="73" spans="5:12">
      <c r="K73" s="156"/>
    </row>
    <row r="74" spans="5:12">
      <c r="K74" s="156"/>
    </row>
    <row r="75" spans="5:12">
      <c r="K75" s="156"/>
    </row>
    <row r="76" spans="5:12">
      <c r="K76" s="156"/>
    </row>
    <row r="77" spans="5:12">
      <c r="K77" s="156"/>
    </row>
    <row r="78" spans="5:12">
      <c r="K78" s="156"/>
    </row>
    <row r="79" spans="5:12">
      <c r="K79" s="156"/>
    </row>
    <row r="80" spans="5:12">
      <c r="K80" s="156"/>
    </row>
    <row r="81" spans="11:11">
      <c r="K81" s="156"/>
    </row>
    <row r="82" spans="11:11">
      <c r="K82" s="156"/>
    </row>
    <row r="83" spans="11:11">
      <c r="K83" s="156"/>
    </row>
    <row r="84" spans="11:11">
      <c r="K84" s="156"/>
    </row>
    <row r="85" spans="11:11">
      <c r="K85" s="156"/>
    </row>
    <row r="86" spans="11:11">
      <c r="K86" s="156"/>
    </row>
    <row r="87" spans="11:11">
      <c r="K87" s="156"/>
    </row>
    <row r="88" spans="11:11">
      <c r="K88" s="156"/>
    </row>
    <row r="89" spans="11:11">
      <c r="K89" s="156"/>
    </row>
    <row r="90" spans="11:11">
      <c r="K90" s="156"/>
    </row>
    <row r="91" spans="11:11">
      <c r="K91" s="156"/>
    </row>
    <row r="92" spans="11:11">
      <c r="K92" s="156"/>
    </row>
    <row r="93" spans="11:11">
      <c r="K93" s="156"/>
    </row>
    <row r="94" spans="11:11">
      <c r="K94" s="156"/>
    </row>
    <row r="95" spans="11:11">
      <c r="K95" s="156"/>
    </row>
    <row r="96" spans="11:11">
      <c r="K96" s="156"/>
    </row>
    <row r="97" spans="11:11">
      <c r="K97" s="156"/>
    </row>
    <row r="98" spans="11:11">
      <c r="K98" s="156"/>
    </row>
    <row r="99" spans="11:11">
      <c r="K99" s="156"/>
    </row>
    <row r="100" spans="11:11">
      <c r="K100" s="156"/>
    </row>
    <row r="101" spans="11:11">
      <c r="K101" s="156"/>
    </row>
    <row r="102" spans="11:11">
      <c r="K102" s="156"/>
    </row>
    <row r="103" spans="11:11">
      <c r="K103" s="156"/>
    </row>
    <row r="104" spans="11:11">
      <c r="K104" s="156"/>
    </row>
    <row r="105" spans="11:11">
      <c r="K105" s="156"/>
    </row>
  </sheetData>
  <mergeCells count="4">
    <mergeCell ref="K67:K68"/>
    <mergeCell ref="K70:K71"/>
    <mergeCell ref="N47:N51"/>
    <mergeCell ref="K65:K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P209"/>
  <sheetViews>
    <sheetView tabSelected="1" zoomScale="55" zoomScaleNormal="55" zoomScaleSheetLayoutView="100" workbookViewId="0">
      <selection activeCell="A3" sqref="A3"/>
    </sheetView>
  </sheetViews>
  <sheetFormatPr defaultRowHeight="1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0" width="19.28515625" hidden="1" customWidth="1"/>
    <col min="11" max="11" width="15.42578125" hidden="1" customWidth="1"/>
    <col min="12" max="12" width="14.85546875" hidden="1" customWidth="1"/>
    <col min="13" max="13" width="15.140625" hidden="1" customWidth="1"/>
    <col min="14" max="16" width="0" hidden="1" customWidth="1"/>
  </cols>
  <sheetData>
    <row r="1" spans="1:14" ht="15.75">
      <c r="A1" s="36"/>
      <c r="B1" s="36"/>
      <c r="C1" s="101"/>
      <c r="D1" s="55" t="s">
        <v>15</v>
      </c>
      <c r="E1" s="56">
        <f>'Cover page'!C22</f>
        <v>0</v>
      </c>
      <c r="F1" s="56">
        <f>'Cover page'!G22</f>
        <v>0</v>
      </c>
      <c r="G1" s="195" t="s">
        <v>412</v>
      </c>
      <c r="H1" s="196"/>
      <c r="I1" s="52">
        <f>SUMIF(B3:B201,"D*",I3:I201)</f>
        <v>0</v>
      </c>
      <c r="M1">
        <f>'Cover page'!G33</f>
        <v>0</v>
      </c>
    </row>
    <row r="2" spans="1:14" ht="32.25" customHeight="1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J2" s="65" t="s">
        <v>514</v>
      </c>
      <c r="K2" s="65" t="s">
        <v>515</v>
      </c>
      <c r="L2" s="65" t="s">
        <v>516</v>
      </c>
      <c r="M2" s="65" t="s">
        <v>578</v>
      </c>
      <c r="N2" s="65" t="s">
        <v>580</v>
      </c>
    </row>
    <row r="3" spans="1:14" ht="45" customHeight="1">
      <c r="A3" s="129"/>
      <c r="B3" s="129"/>
      <c r="C3" s="130"/>
      <c r="D3" s="131"/>
      <c r="E3" s="124"/>
      <c r="F3" s="132"/>
      <c r="G3" s="133"/>
      <c r="H3" s="134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e">
        <f>AND($M$1="Flat Rate",M3="Staff_Costs")</f>
        <v>#N/A</v>
      </c>
    </row>
    <row r="4" spans="1:14" ht="45" customHeight="1">
      <c r="A4" s="135"/>
      <c r="B4" s="129"/>
      <c r="C4" s="136"/>
      <c r="D4" s="131"/>
      <c r="E4" s="124"/>
      <c r="F4" s="132"/>
      <c r="G4" s="133"/>
      <c r="H4" s="137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e">
        <f t="shared" ref="N4:N67" si="3">AND($M$1="Flat Rate",M4="Staff_Costs")</f>
        <v>#N/A</v>
      </c>
    </row>
    <row r="5" spans="1:14" ht="45" customHeight="1">
      <c r="A5" s="135"/>
      <c r="B5" s="129"/>
      <c r="C5" s="136"/>
      <c r="D5" s="131"/>
      <c r="E5" s="124"/>
      <c r="F5" s="132"/>
      <c r="G5" s="133"/>
      <c r="H5" s="137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e">
        <f t="shared" si="3"/>
        <v>#N/A</v>
      </c>
    </row>
    <row r="6" spans="1:14" ht="45" customHeight="1">
      <c r="A6" s="135"/>
      <c r="B6" s="129"/>
      <c r="C6" s="136"/>
      <c r="D6" s="131"/>
      <c r="E6" s="124"/>
      <c r="F6" s="132"/>
      <c r="G6" s="133"/>
      <c r="H6" s="137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e">
        <f t="shared" si="3"/>
        <v>#N/A</v>
      </c>
    </row>
    <row r="7" spans="1:14" ht="45" customHeight="1">
      <c r="A7" s="135"/>
      <c r="B7" s="129"/>
      <c r="C7" s="136"/>
      <c r="D7" s="131"/>
      <c r="E7" s="124"/>
      <c r="F7" s="132"/>
      <c r="G7" s="133"/>
      <c r="H7" s="137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e">
        <f t="shared" si="3"/>
        <v>#N/A</v>
      </c>
    </row>
    <row r="8" spans="1:14" ht="45" customHeight="1">
      <c r="A8" s="135"/>
      <c r="B8" s="129"/>
      <c r="C8" s="136"/>
      <c r="D8" s="131"/>
      <c r="E8" s="124"/>
      <c r="F8" s="132"/>
      <c r="G8" s="133"/>
      <c r="H8" s="137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e">
        <f t="shared" si="3"/>
        <v>#N/A</v>
      </c>
    </row>
    <row r="9" spans="1:14" ht="45" customHeight="1">
      <c r="A9" s="135"/>
      <c r="B9" s="129"/>
      <c r="C9" s="136"/>
      <c r="D9" s="131"/>
      <c r="E9" s="124"/>
      <c r="F9" s="132"/>
      <c r="G9" s="133"/>
      <c r="H9" s="137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e">
        <f t="shared" si="3"/>
        <v>#N/A</v>
      </c>
    </row>
    <row r="10" spans="1:14" ht="45" customHeight="1">
      <c r="A10" s="135"/>
      <c r="B10" s="129"/>
      <c r="C10" s="136"/>
      <c r="D10" s="131"/>
      <c r="E10" s="124"/>
      <c r="F10" s="132"/>
      <c r="G10" s="133"/>
      <c r="H10" s="137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e">
        <f t="shared" si="3"/>
        <v>#N/A</v>
      </c>
    </row>
    <row r="11" spans="1:14" ht="45" customHeight="1">
      <c r="A11" s="135"/>
      <c r="B11" s="129"/>
      <c r="C11" s="136"/>
      <c r="D11" s="131"/>
      <c r="E11" s="124"/>
      <c r="F11" s="132"/>
      <c r="G11" s="133"/>
      <c r="H11" s="137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e">
        <f t="shared" si="3"/>
        <v>#N/A</v>
      </c>
    </row>
    <row r="12" spans="1:14" ht="45" customHeight="1">
      <c r="A12" s="135"/>
      <c r="B12" s="129"/>
      <c r="C12" s="136"/>
      <c r="D12" s="131"/>
      <c r="E12" s="124"/>
      <c r="F12" s="132"/>
      <c r="G12" s="133"/>
      <c r="H12" s="137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e">
        <f t="shared" si="3"/>
        <v>#N/A</v>
      </c>
    </row>
    <row r="13" spans="1:14" ht="45" customHeight="1">
      <c r="A13" s="135"/>
      <c r="B13" s="129"/>
      <c r="C13" s="136"/>
      <c r="D13" s="131"/>
      <c r="E13" s="124"/>
      <c r="F13" s="132"/>
      <c r="G13" s="133"/>
      <c r="H13" s="137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e">
        <f t="shared" si="3"/>
        <v>#N/A</v>
      </c>
    </row>
    <row r="14" spans="1:14" ht="45" customHeight="1">
      <c r="A14" s="135"/>
      <c r="B14" s="129"/>
      <c r="C14" s="136"/>
      <c r="D14" s="131"/>
      <c r="E14" s="124"/>
      <c r="F14" s="132"/>
      <c r="G14" s="133"/>
      <c r="H14" s="137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e">
        <f t="shared" si="3"/>
        <v>#N/A</v>
      </c>
    </row>
    <row r="15" spans="1:14" ht="45" customHeight="1">
      <c r="A15" s="135"/>
      <c r="B15" s="129"/>
      <c r="C15" s="136"/>
      <c r="D15" s="131"/>
      <c r="E15" s="124"/>
      <c r="F15" s="132"/>
      <c r="G15" s="133"/>
      <c r="H15" s="137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e">
        <f t="shared" si="3"/>
        <v>#N/A</v>
      </c>
    </row>
    <row r="16" spans="1:14" ht="45" customHeight="1">
      <c r="A16" s="135"/>
      <c r="B16" s="129"/>
      <c r="C16" s="136"/>
      <c r="D16" s="131"/>
      <c r="E16" s="124"/>
      <c r="F16" s="132"/>
      <c r="G16" s="133"/>
      <c r="H16" s="137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e">
        <f t="shared" si="3"/>
        <v>#N/A</v>
      </c>
    </row>
    <row r="17" spans="1:14" ht="45" customHeight="1">
      <c r="A17" s="135"/>
      <c r="B17" s="129"/>
      <c r="C17" s="136"/>
      <c r="D17" s="131"/>
      <c r="E17" s="124"/>
      <c r="F17" s="132"/>
      <c r="G17" s="133"/>
      <c r="H17" s="137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e">
        <f t="shared" si="3"/>
        <v>#N/A</v>
      </c>
    </row>
    <row r="18" spans="1:14" ht="45" customHeight="1">
      <c r="A18" s="138"/>
      <c r="B18" s="129"/>
      <c r="C18" s="139"/>
      <c r="D18" s="131"/>
      <c r="E18" s="124"/>
      <c r="F18" s="132"/>
      <c r="G18" s="133"/>
      <c r="H18" s="140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e">
        <f t="shared" si="3"/>
        <v>#N/A</v>
      </c>
    </row>
    <row r="19" spans="1:14" ht="45" customHeight="1">
      <c r="A19" s="135"/>
      <c r="B19" s="129"/>
      <c r="C19" s="136"/>
      <c r="D19" s="131"/>
      <c r="E19" s="124"/>
      <c r="F19" s="132"/>
      <c r="G19" s="133"/>
      <c r="H19" s="137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e">
        <f t="shared" si="3"/>
        <v>#N/A</v>
      </c>
    </row>
    <row r="20" spans="1:14" ht="45" customHeight="1">
      <c r="A20" s="135"/>
      <c r="B20" s="129"/>
      <c r="C20" s="136"/>
      <c r="D20" s="131"/>
      <c r="E20" s="124"/>
      <c r="F20" s="132"/>
      <c r="G20" s="133"/>
      <c r="H20" s="137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e">
        <f t="shared" si="3"/>
        <v>#N/A</v>
      </c>
    </row>
    <row r="21" spans="1:14" ht="45" customHeight="1">
      <c r="A21" s="135"/>
      <c r="B21" s="129"/>
      <c r="C21" s="136"/>
      <c r="D21" s="131"/>
      <c r="E21" s="124"/>
      <c r="F21" s="132"/>
      <c r="G21" s="133"/>
      <c r="H21" s="137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e">
        <f t="shared" si="3"/>
        <v>#N/A</v>
      </c>
    </row>
    <row r="22" spans="1:14" ht="45" customHeight="1">
      <c r="A22" s="135"/>
      <c r="B22" s="129"/>
      <c r="C22" s="136"/>
      <c r="D22" s="131"/>
      <c r="E22" s="124"/>
      <c r="F22" s="132"/>
      <c r="G22" s="133"/>
      <c r="H22" s="137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e">
        <f t="shared" si="3"/>
        <v>#N/A</v>
      </c>
    </row>
    <row r="23" spans="1:14" ht="45" customHeight="1">
      <c r="A23" s="135"/>
      <c r="B23" s="129"/>
      <c r="C23" s="136"/>
      <c r="D23" s="131"/>
      <c r="E23" s="124"/>
      <c r="F23" s="132"/>
      <c r="G23" s="133"/>
      <c r="H23" s="137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e">
        <f t="shared" si="3"/>
        <v>#N/A</v>
      </c>
    </row>
    <row r="24" spans="1:14" ht="45" customHeight="1">
      <c r="A24" s="135"/>
      <c r="B24" s="129"/>
      <c r="C24" s="136"/>
      <c r="D24" s="131"/>
      <c r="E24" s="124"/>
      <c r="F24" s="132"/>
      <c r="G24" s="133"/>
      <c r="H24" s="137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e">
        <f t="shared" si="3"/>
        <v>#N/A</v>
      </c>
    </row>
    <row r="25" spans="1:14" ht="45" customHeight="1">
      <c r="A25" s="135"/>
      <c r="B25" s="129"/>
      <c r="C25" s="136"/>
      <c r="D25" s="131"/>
      <c r="E25" s="124"/>
      <c r="F25" s="132"/>
      <c r="G25" s="133"/>
      <c r="H25" s="137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e">
        <f t="shared" si="3"/>
        <v>#N/A</v>
      </c>
    </row>
    <row r="26" spans="1:14" ht="45" customHeight="1">
      <c r="A26" s="135"/>
      <c r="B26" s="129"/>
      <c r="C26" s="136"/>
      <c r="D26" s="131"/>
      <c r="E26" s="124"/>
      <c r="F26" s="132"/>
      <c r="G26" s="133"/>
      <c r="H26" s="137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e">
        <f t="shared" si="3"/>
        <v>#N/A</v>
      </c>
    </row>
    <row r="27" spans="1:14" ht="45" customHeight="1">
      <c r="A27" s="135"/>
      <c r="B27" s="129"/>
      <c r="C27" s="136"/>
      <c r="D27" s="131"/>
      <c r="E27" s="124"/>
      <c r="F27" s="132"/>
      <c r="G27" s="133"/>
      <c r="H27" s="137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e">
        <f t="shared" si="3"/>
        <v>#N/A</v>
      </c>
    </row>
    <row r="28" spans="1:14" ht="45" customHeight="1">
      <c r="A28" s="135"/>
      <c r="B28" s="129"/>
      <c r="C28" s="136"/>
      <c r="D28" s="131"/>
      <c r="E28" s="124"/>
      <c r="F28" s="132"/>
      <c r="G28" s="133"/>
      <c r="H28" s="137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e">
        <f t="shared" si="3"/>
        <v>#N/A</v>
      </c>
    </row>
    <row r="29" spans="1:14" ht="45" customHeight="1">
      <c r="A29" s="135"/>
      <c r="B29" s="129"/>
      <c r="C29" s="136"/>
      <c r="D29" s="131"/>
      <c r="E29" s="124"/>
      <c r="F29" s="132"/>
      <c r="G29" s="133"/>
      <c r="H29" s="137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e">
        <f t="shared" si="3"/>
        <v>#N/A</v>
      </c>
    </row>
    <row r="30" spans="1:14" ht="45" customHeight="1">
      <c r="A30" s="135"/>
      <c r="B30" s="129"/>
      <c r="C30" s="136"/>
      <c r="D30" s="131"/>
      <c r="E30" s="124"/>
      <c r="F30" s="132"/>
      <c r="G30" s="133"/>
      <c r="H30" s="137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e">
        <f t="shared" si="3"/>
        <v>#N/A</v>
      </c>
    </row>
    <row r="31" spans="1:14" ht="45" customHeight="1">
      <c r="A31" s="135"/>
      <c r="B31" s="129"/>
      <c r="C31" s="136"/>
      <c r="D31" s="131"/>
      <c r="E31" s="124"/>
      <c r="F31" s="132"/>
      <c r="G31" s="133"/>
      <c r="H31" s="137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e">
        <f t="shared" si="3"/>
        <v>#N/A</v>
      </c>
    </row>
    <row r="32" spans="1:14" ht="45" customHeight="1">
      <c r="A32" s="135"/>
      <c r="B32" s="129"/>
      <c r="C32" s="136"/>
      <c r="D32" s="131"/>
      <c r="E32" s="124"/>
      <c r="F32" s="132"/>
      <c r="G32" s="133"/>
      <c r="H32" s="137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e">
        <f t="shared" si="3"/>
        <v>#N/A</v>
      </c>
    </row>
    <row r="33" spans="1:14" ht="45" customHeight="1">
      <c r="A33" s="135"/>
      <c r="B33" s="129"/>
      <c r="C33" s="136"/>
      <c r="D33" s="131"/>
      <c r="E33" s="124"/>
      <c r="F33" s="132"/>
      <c r="G33" s="133"/>
      <c r="H33" s="137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e">
        <f t="shared" si="3"/>
        <v>#N/A</v>
      </c>
    </row>
    <row r="34" spans="1:14" ht="45" customHeight="1">
      <c r="A34" s="135"/>
      <c r="B34" s="129"/>
      <c r="C34" s="136"/>
      <c r="D34" s="131"/>
      <c r="E34" s="125"/>
      <c r="F34" s="132"/>
      <c r="G34" s="133"/>
      <c r="H34" s="137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e">
        <f t="shared" si="3"/>
        <v>#N/A</v>
      </c>
    </row>
    <row r="35" spans="1:14" ht="45" customHeight="1">
      <c r="A35" s="135"/>
      <c r="B35" s="129"/>
      <c r="C35" s="136"/>
      <c r="D35" s="131"/>
      <c r="E35" s="125"/>
      <c r="F35" s="132"/>
      <c r="G35" s="133"/>
      <c r="H35" s="137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e">
        <f t="shared" si="3"/>
        <v>#N/A</v>
      </c>
    </row>
    <row r="36" spans="1:14" ht="45" customHeight="1">
      <c r="A36" s="135"/>
      <c r="B36" s="129"/>
      <c r="C36" s="136"/>
      <c r="D36" s="131"/>
      <c r="E36" s="125"/>
      <c r="F36" s="132"/>
      <c r="G36" s="133"/>
      <c r="H36" s="137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e">
        <f t="shared" si="3"/>
        <v>#N/A</v>
      </c>
    </row>
    <row r="37" spans="1:14" ht="45" customHeight="1">
      <c r="A37" s="135"/>
      <c r="B37" s="129"/>
      <c r="C37" s="136"/>
      <c r="D37" s="131"/>
      <c r="E37" s="125"/>
      <c r="F37" s="132"/>
      <c r="G37" s="133"/>
      <c r="H37" s="137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e">
        <f t="shared" si="3"/>
        <v>#N/A</v>
      </c>
    </row>
    <row r="38" spans="1:14" ht="45" customHeight="1">
      <c r="A38" s="135"/>
      <c r="B38" s="129"/>
      <c r="C38" s="136"/>
      <c r="D38" s="131"/>
      <c r="E38" s="125"/>
      <c r="F38" s="132"/>
      <c r="G38" s="133"/>
      <c r="H38" s="137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e">
        <f t="shared" si="3"/>
        <v>#N/A</v>
      </c>
    </row>
    <row r="39" spans="1:14" ht="45" customHeight="1">
      <c r="A39" s="135"/>
      <c r="B39" s="129"/>
      <c r="C39" s="136"/>
      <c r="D39" s="131"/>
      <c r="E39" s="125"/>
      <c r="F39" s="132"/>
      <c r="G39" s="133"/>
      <c r="H39" s="137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e">
        <f t="shared" si="3"/>
        <v>#N/A</v>
      </c>
    </row>
    <row r="40" spans="1:14" ht="45" customHeight="1">
      <c r="A40" s="135"/>
      <c r="B40" s="129"/>
      <c r="C40" s="136"/>
      <c r="D40" s="131"/>
      <c r="E40" s="125"/>
      <c r="F40" s="132"/>
      <c r="G40" s="133"/>
      <c r="H40" s="137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e">
        <f t="shared" si="3"/>
        <v>#N/A</v>
      </c>
    </row>
    <row r="41" spans="1:14" ht="45" customHeight="1">
      <c r="A41" s="135"/>
      <c r="B41" s="129"/>
      <c r="C41" s="136"/>
      <c r="D41" s="131"/>
      <c r="E41" s="125"/>
      <c r="F41" s="132"/>
      <c r="G41" s="133"/>
      <c r="H41" s="137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e">
        <f t="shared" si="3"/>
        <v>#N/A</v>
      </c>
    </row>
    <row r="42" spans="1:14" ht="45" customHeight="1">
      <c r="A42" s="135"/>
      <c r="B42" s="129"/>
      <c r="C42" s="136"/>
      <c r="D42" s="131"/>
      <c r="E42" s="125"/>
      <c r="F42" s="132"/>
      <c r="G42" s="133"/>
      <c r="H42" s="137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e">
        <f t="shared" si="3"/>
        <v>#N/A</v>
      </c>
    </row>
    <row r="43" spans="1:14" ht="45" customHeight="1">
      <c r="A43" s="135"/>
      <c r="B43" s="129"/>
      <c r="C43" s="136"/>
      <c r="D43" s="131"/>
      <c r="E43" s="125"/>
      <c r="F43" s="132"/>
      <c r="G43" s="133"/>
      <c r="H43" s="137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e">
        <f t="shared" si="3"/>
        <v>#N/A</v>
      </c>
    </row>
    <row r="44" spans="1:14" ht="45" customHeight="1">
      <c r="A44" s="135"/>
      <c r="B44" s="129"/>
      <c r="C44" s="136"/>
      <c r="D44" s="131"/>
      <c r="E44" s="125"/>
      <c r="F44" s="132"/>
      <c r="G44" s="133"/>
      <c r="H44" s="137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e">
        <f t="shared" si="3"/>
        <v>#N/A</v>
      </c>
    </row>
    <row r="45" spans="1:14" ht="45" customHeight="1">
      <c r="A45" s="135"/>
      <c r="B45" s="129"/>
      <c r="C45" s="136"/>
      <c r="D45" s="131"/>
      <c r="E45" s="125"/>
      <c r="F45" s="132"/>
      <c r="G45" s="133"/>
      <c r="H45" s="137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e">
        <f t="shared" si="3"/>
        <v>#N/A</v>
      </c>
    </row>
    <row r="46" spans="1:14" ht="45" customHeight="1">
      <c r="A46" s="135"/>
      <c r="B46" s="129"/>
      <c r="C46" s="136"/>
      <c r="D46" s="131"/>
      <c r="E46" s="125"/>
      <c r="F46" s="132"/>
      <c r="G46" s="133"/>
      <c r="H46" s="137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e">
        <f t="shared" si="3"/>
        <v>#N/A</v>
      </c>
    </row>
    <row r="47" spans="1:14" ht="45" customHeight="1">
      <c r="A47" s="135"/>
      <c r="B47" s="129"/>
      <c r="C47" s="136"/>
      <c r="D47" s="131"/>
      <c r="E47" s="125"/>
      <c r="F47" s="132"/>
      <c r="G47" s="133"/>
      <c r="H47" s="137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e">
        <f t="shared" si="3"/>
        <v>#N/A</v>
      </c>
    </row>
    <row r="48" spans="1:14" ht="45" customHeight="1">
      <c r="A48" s="135"/>
      <c r="B48" s="129"/>
      <c r="C48" s="136"/>
      <c r="D48" s="131"/>
      <c r="E48" s="125"/>
      <c r="F48" s="132"/>
      <c r="G48" s="133"/>
      <c r="H48" s="137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e">
        <f t="shared" si="3"/>
        <v>#N/A</v>
      </c>
    </row>
    <row r="49" spans="1:14" ht="45" customHeight="1">
      <c r="A49" s="135"/>
      <c r="B49" s="129"/>
      <c r="C49" s="136"/>
      <c r="D49" s="131"/>
      <c r="E49" s="125"/>
      <c r="F49" s="132"/>
      <c r="G49" s="133"/>
      <c r="H49" s="137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e">
        <f t="shared" si="3"/>
        <v>#N/A</v>
      </c>
    </row>
    <row r="50" spans="1:14" ht="45" customHeight="1">
      <c r="A50" s="135"/>
      <c r="B50" s="129"/>
      <c r="C50" s="136"/>
      <c r="D50" s="131"/>
      <c r="E50" s="125"/>
      <c r="F50" s="132"/>
      <c r="G50" s="133"/>
      <c r="H50" s="137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e">
        <f t="shared" si="3"/>
        <v>#N/A</v>
      </c>
    </row>
    <row r="51" spans="1:14" ht="45" customHeight="1">
      <c r="A51" s="135"/>
      <c r="B51" s="129"/>
      <c r="C51" s="136"/>
      <c r="D51" s="131"/>
      <c r="E51" s="125"/>
      <c r="F51" s="132"/>
      <c r="G51" s="133"/>
      <c r="H51" s="137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e">
        <f t="shared" si="3"/>
        <v>#N/A</v>
      </c>
    </row>
    <row r="52" spans="1:14" ht="45" customHeight="1">
      <c r="A52" s="135"/>
      <c r="B52" s="129"/>
      <c r="C52" s="136"/>
      <c r="D52" s="131"/>
      <c r="E52" s="125"/>
      <c r="F52" s="132"/>
      <c r="G52" s="133"/>
      <c r="H52" s="137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e">
        <f t="shared" si="3"/>
        <v>#N/A</v>
      </c>
    </row>
    <row r="53" spans="1:14" ht="45" customHeight="1">
      <c r="A53" s="135"/>
      <c r="B53" s="129"/>
      <c r="C53" s="136"/>
      <c r="D53" s="131"/>
      <c r="E53" s="125"/>
      <c r="F53" s="132"/>
      <c r="G53" s="133"/>
      <c r="H53" s="137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e">
        <f t="shared" si="3"/>
        <v>#N/A</v>
      </c>
    </row>
    <row r="54" spans="1:14" ht="45" customHeight="1">
      <c r="A54" s="135"/>
      <c r="B54" s="129"/>
      <c r="C54" s="136"/>
      <c r="D54" s="131"/>
      <c r="E54" s="125"/>
      <c r="F54" s="132"/>
      <c r="G54" s="133"/>
      <c r="H54" s="137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e">
        <f t="shared" si="3"/>
        <v>#N/A</v>
      </c>
    </row>
    <row r="55" spans="1:14" ht="45" customHeight="1">
      <c r="A55" s="135"/>
      <c r="B55" s="129"/>
      <c r="C55" s="136"/>
      <c r="D55" s="131"/>
      <c r="E55" s="125"/>
      <c r="F55" s="132"/>
      <c r="G55" s="133"/>
      <c r="H55" s="137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e">
        <f t="shared" si="3"/>
        <v>#N/A</v>
      </c>
    </row>
    <row r="56" spans="1:14" ht="45" customHeight="1">
      <c r="A56" s="135"/>
      <c r="B56" s="129"/>
      <c r="C56" s="136"/>
      <c r="D56" s="131"/>
      <c r="E56" s="125"/>
      <c r="F56" s="132"/>
      <c r="G56" s="133"/>
      <c r="H56" s="137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e">
        <f t="shared" si="3"/>
        <v>#N/A</v>
      </c>
    </row>
    <row r="57" spans="1:14" ht="45" customHeight="1">
      <c r="A57" s="135"/>
      <c r="B57" s="129"/>
      <c r="C57" s="136"/>
      <c r="D57" s="131"/>
      <c r="E57" s="125"/>
      <c r="F57" s="132"/>
      <c r="G57" s="133"/>
      <c r="H57" s="137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e">
        <f t="shared" si="3"/>
        <v>#N/A</v>
      </c>
    </row>
    <row r="58" spans="1:14" ht="45" customHeight="1">
      <c r="A58" s="135"/>
      <c r="B58" s="129"/>
      <c r="C58" s="136"/>
      <c r="D58" s="131"/>
      <c r="E58" s="125"/>
      <c r="F58" s="132"/>
      <c r="G58" s="133"/>
      <c r="H58" s="137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e">
        <f t="shared" si="3"/>
        <v>#N/A</v>
      </c>
    </row>
    <row r="59" spans="1:14" ht="45" customHeight="1">
      <c r="A59" s="135"/>
      <c r="B59" s="129"/>
      <c r="C59" s="136"/>
      <c r="D59" s="131"/>
      <c r="E59" s="125"/>
      <c r="F59" s="132"/>
      <c r="G59" s="133"/>
      <c r="H59" s="137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e">
        <f t="shared" si="3"/>
        <v>#N/A</v>
      </c>
    </row>
    <row r="60" spans="1:14" ht="45" customHeight="1">
      <c r="A60" s="135"/>
      <c r="B60" s="129"/>
      <c r="C60" s="136"/>
      <c r="D60" s="131"/>
      <c r="E60" s="125"/>
      <c r="F60" s="132"/>
      <c r="G60" s="133"/>
      <c r="H60" s="137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e">
        <f t="shared" si="3"/>
        <v>#N/A</v>
      </c>
    </row>
    <row r="61" spans="1:14" ht="45" customHeight="1">
      <c r="A61" s="135"/>
      <c r="B61" s="129"/>
      <c r="C61" s="136"/>
      <c r="D61" s="131"/>
      <c r="E61" s="125"/>
      <c r="F61" s="132"/>
      <c r="G61" s="133"/>
      <c r="H61" s="137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e">
        <f t="shared" si="3"/>
        <v>#N/A</v>
      </c>
    </row>
    <row r="62" spans="1:14" ht="45" customHeight="1">
      <c r="A62" s="135"/>
      <c r="B62" s="129"/>
      <c r="C62" s="136"/>
      <c r="D62" s="131"/>
      <c r="E62" s="125"/>
      <c r="F62" s="132"/>
      <c r="G62" s="133"/>
      <c r="H62" s="137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e">
        <f t="shared" si="3"/>
        <v>#N/A</v>
      </c>
    </row>
    <row r="63" spans="1:14" ht="45" customHeight="1">
      <c r="A63" s="135"/>
      <c r="B63" s="129"/>
      <c r="C63" s="136"/>
      <c r="D63" s="131"/>
      <c r="E63" s="125"/>
      <c r="F63" s="132"/>
      <c r="G63" s="133"/>
      <c r="H63" s="137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e">
        <f t="shared" si="3"/>
        <v>#N/A</v>
      </c>
    </row>
    <row r="64" spans="1:14" ht="45" customHeight="1">
      <c r="A64" s="135"/>
      <c r="B64" s="129"/>
      <c r="C64" s="136"/>
      <c r="D64" s="131"/>
      <c r="E64" s="125"/>
      <c r="F64" s="132"/>
      <c r="G64" s="133"/>
      <c r="H64" s="137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e">
        <f t="shared" si="3"/>
        <v>#N/A</v>
      </c>
    </row>
    <row r="65" spans="1:14" ht="45" customHeight="1">
      <c r="A65" s="135"/>
      <c r="B65" s="129"/>
      <c r="C65" s="136"/>
      <c r="D65" s="131"/>
      <c r="E65" s="125"/>
      <c r="F65" s="132"/>
      <c r="G65" s="133"/>
      <c r="H65" s="137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e">
        <f t="shared" si="3"/>
        <v>#N/A</v>
      </c>
    </row>
    <row r="66" spans="1:14" ht="45" customHeight="1">
      <c r="A66" s="135"/>
      <c r="B66" s="129"/>
      <c r="C66" s="136"/>
      <c r="D66" s="131"/>
      <c r="E66" s="125"/>
      <c r="F66" s="132"/>
      <c r="G66" s="133"/>
      <c r="H66" s="137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e">
        <f t="shared" si="3"/>
        <v>#N/A</v>
      </c>
    </row>
    <row r="67" spans="1:14" ht="45" customHeight="1">
      <c r="A67" s="135"/>
      <c r="B67" s="129"/>
      <c r="C67" s="136"/>
      <c r="D67" s="131"/>
      <c r="E67" s="125"/>
      <c r="F67" s="132"/>
      <c r="G67" s="133"/>
      <c r="H67" s="137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e">
        <f t="shared" si="3"/>
        <v>#N/A</v>
      </c>
    </row>
    <row r="68" spans="1:14" ht="45" customHeight="1">
      <c r="A68" s="135"/>
      <c r="B68" s="129"/>
      <c r="C68" s="136"/>
      <c r="D68" s="131"/>
      <c r="E68" s="125"/>
      <c r="F68" s="132"/>
      <c r="G68" s="133"/>
      <c r="H68" s="137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e">
        <f t="shared" ref="N68:N131" si="8">AND($M$1="Flat Rate",M68="Staff_Costs")</f>
        <v>#N/A</v>
      </c>
    </row>
    <row r="69" spans="1:14" ht="45" customHeight="1">
      <c r="A69" s="135"/>
      <c r="B69" s="129"/>
      <c r="C69" s="136"/>
      <c r="D69" s="131"/>
      <c r="E69" s="125"/>
      <c r="F69" s="132"/>
      <c r="G69" s="133"/>
      <c r="H69" s="137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e">
        <f t="shared" si="8"/>
        <v>#N/A</v>
      </c>
    </row>
    <row r="70" spans="1:14" ht="45" customHeight="1">
      <c r="A70" s="135"/>
      <c r="B70" s="129"/>
      <c r="C70" s="136"/>
      <c r="D70" s="131"/>
      <c r="E70" s="125"/>
      <c r="F70" s="132"/>
      <c r="G70" s="133"/>
      <c r="H70" s="137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e">
        <f t="shared" si="8"/>
        <v>#N/A</v>
      </c>
    </row>
    <row r="71" spans="1:14" ht="45" customHeight="1">
      <c r="A71" s="135"/>
      <c r="B71" s="129"/>
      <c r="C71" s="136"/>
      <c r="D71" s="131"/>
      <c r="E71" s="125"/>
      <c r="F71" s="132"/>
      <c r="G71" s="133"/>
      <c r="H71" s="137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e">
        <f t="shared" si="8"/>
        <v>#N/A</v>
      </c>
    </row>
    <row r="72" spans="1:14" ht="45" customHeight="1">
      <c r="A72" s="135"/>
      <c r="B72" s="129"/>
      <c r="C72" s="136"/>
      <c r="D72" s="131"/>
      <c r="E72" s="125"/>
      <c r="F72" s="132"/>
      <c r="G72" s="133"/>
      <c r="H72" s="137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e">
        <f t="shared" si="8"/>
        <v>#N/A</v>
      </c>
    </row>
    <row r="73" spans="1:14" ht="45" customHeight="1">
      <c r="A73" s="135"/>
      <c r="B73" s="129"/>
      <c r="C73" s="136"/>
      <c r="D73" s="131"/>
      <c r="E73" s="125"/>
      <c r="F73" s="132"/>
      <c r="G73" s="133"/>
      <c r="H73" s="137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e">
        <f t="shared" si="8"/>
        <v>#N/A</v>
      </c>
    </row>
    <row r="74" spans="1:14" ht="45" customHeight="1">
      <c r="A74" s="135"/>
      <c r="B74" s="129"/>
      <c r="C74" s="136"/>
      <c r="D74" s="131"/>
      <c r="E74" s="125"/>
      <c r="F74" s="132"/>
      <c r="G74" s="133"/>
      <c r="H74" s="137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e">
        <f t="shared" si="8"/>
        <v>#N/A</v>
      </c>
    </row>
    <row r="75" spans="1:14" ht="45" customHeight="1">
      <c r="A75" s="135"/>
      <c r="B75" s="129"/>
      <c r="C75" s="136"/>
      <c r="D75" s="131"/>
      <c r="E75" s="125"/>
      <c r="F75" s="132"/>
      <c r="G75" s="133"/>
      <c r="H75" s="137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e">
        <f t="shared" si="8"/>
        <v>#N/A</v>
      </c>
    </row>
    <row r="76" spans="1:14" ht="45" customHeight="1">
      <c r="A76" s="135"/>
      <c r="B76" s="129"/>
      <c r="C76" s="136"/>
      <c r="D76" s="131"/>
      <c r="E76" s="125"/>
      <c r="F76" s="132"/>
      <c r="G76" s="133"/>
      <c r="H76" s="137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e">
        <f t="shared" si="8"/>
        <v>#N/A</v>
      </c>
    </row>
    <row r="77" spans="1:14" ht="45" customHeight="1">
      <c r="A77" s="135"/>
      <c r="B77" s="129"/>
      <c r="C77" s="136"/>
      <c r="D77" s="131"/>
      <c r="E77" s="125"/>
      <c r="F77" s="132"/>
      <c r="G77" s="133"/>
      <c r="H77" s="137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e">
        <f t="shared" si="8"/>
        <v>#N/A</v>
      </c>
    </row>
    <row r="78" spans="1:14" ht="45" customHeight="1">
      <c r="A78" s="135"/>
      <c r="B78" s="129"/>
      <c r="C78" s="136"/>
      <c r="D78" s="131"/>
      <c r="E78" s="125"/>
      <c r="F78" s="132"/>
      <c r="G78" s="133"/>
      <c r="H78" s="137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e">
        <f t="shared" si="8"/>
        <v>#N/A</v>
      </c>
    </row>
    <row r="79" spans="1:14" ht="45" customHeight="1">
      <c r="A79" s="135"/>
      <c r="B79" s="129"/>
      <c r="C79" s="136"/>
      <c r="D79" s="131"/>
      <c r="E79" s="125"/>
      <c r="F79" s="132"/>
      <c r="G79" s="133"/>
      <c r="H79" s="137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e">
        <f t="shared" si="8"/>
        <v>#N/A</v>
      </c>
    </row>
    <row r="80" spans="1:14" ht="45" customHeight="1">
      <c r="A80" s="135"/>
      <c r="B80" s="129"/>
      <c r="C80" s="136"/>
      <c r="D80" s="131"/>
      <c r="E80" s="125"/>
      <c r="F80" s="132"/>
      <c r="G80" s="133"/>
      <c r="H80" s="137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e">
        <f t="shared" si="8"/>
        <v>#N/A</v>
      </c>
    </row>
    <row r="81" spans="1:14" ht="45" customHeight="1">
      <c r="A81" s="135"/>
      <c r="B81" s="129"/>
      <c r="C81" s="136"/>
      <c r="D81" s="131"/>
      <c r="E81" s="125"/>
      <c r="F81" s="132"/>
      <c r="G81" s="133"/>
      <c r="H81" s="137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e">
        <f t="shared" si="8"/>
        <v>#N/A</v>
      </c>
    </row>
    <row r="82" spans="1:14" ht="45" customHeight="1">
      <c r="A82" s="135"/>
      <c r="B82" s="129"/>
      <c r="C82" s="136"/>
      <c r="D82" s="131"/>
      <c r="E82" s="125"/>
      <c r="F82" s="132"/>
      <c r="G82" s="133"/>
      <c r="H82" s="137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e">
        <f t="shared" si="8"/>
        <v>#N/A</v>
      </c>
    </row>
    <row r="83" spans="1:14" ht="45" customHeight="1">
      <c r="A83" s="135"/>
      <c r="B83" s="129"/>
      <c r="C83" s="136"/>
      <c r="D83" s="131"/>
      <c r="E83" s="125"/>
      <c r="F83" s="132"/>
      <c r="G83" s="133"/>
      <c r="H83" s="137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e">
        <f t="shared" si="8"/>
        <v>#N/A</v>
      </c>
    </row>
    <row r="84" spans="1:14" ht="45" customHeight="1">
      <c r="A84" s="135"/>
      <c r="B84" s="129"/>
      <c r="C84" s="136"/>
      <c r="D84" s="131"/>
      <c r="E84" s="125"/>
      <c r="F84" s="132"/>
      <c r="G84" s="133"/>
      <c r="H84" s="137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e">
        <f t="shared" si="8"/>
        <v>#N/A</v>
      </c>
    </row>
    <row r="85" spans="1:14" ht="45" customHeight="1">
      <c r="A85" s="135"/>
      <c r="B85" s="129"/>
      <c r="C85" s="136"/>
      <c r="D85" s="131"/>
      <c r="E85" s="125"/>
      <c r="F85" s="132"/>
      <c r="G85" s="133"/>
      <c r="H85" s="137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e">
        <f t="shared" si="8"/>
        <v>#N/A</v>
      </c>
    </row>
    <row r="86" spans="1:14" ht="45" customHeight="1">
      <c r="A86" s="135"/>
      <c r="B86" s="129"/>
      <c r="C86" s="136"/>
      <c r="D86" s="131"/>
      <c r="E86" s="125"/>
      <c r="F86" s="132"/>
      <c r="G86" s="133"/>
      <c r="H86" s="137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e">
        <f t="shared" si="8"/>
        <v>#N/A</v>
      </c>
    </row>
    <row r="87" spans="1:14" ht="45" customHeight="1">
      <c r="A87" s="135"/>
      <c r="B87" s="129"/>
      <c r="C87" s="136"/>
      <c r="D87" s="131"/>
      <c r="E87" s="125"/>
      <c r="F87" s="132"/>
      <c r="G87" s="133"/>
      <c r="H87" s="137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e">
        <f t="shared" si="8"/>
        <v>#N/A</v>
      </c>
    </row>
    <row r="88" spans="1:14" ht="45" customHeight="1">
      <c r="A88" s="135"/>
      <c r="B88" s="129"/>
      <c r="C88" s="136"/>
      <c r="D88" s="131"/>
      <c r="E88" s="125"/>
      <c r="F88" s="132"/>
      <c r="G88" s="133"/>
      <c r="H88" s="137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e">
        <f t="shared" si="8"/>
        <v>#N/A</v>
      </c>
    </row>
    <row r="89" spans="1:14" ht="45" customHeight="1">
      <c r="A89" s="135"/>
      <c r="B89" s="129"/>
      <c r="C89" s="136"/>
      <c r="D89" s="131"/>
      <c r="E89" s="125"/>
      <c r="F89" s="132"/>
      <c r="G89" s="133"/>
      <c r="H89" s="137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e">
        <f t="shared" si="8"/>
        <v>#N/A</v>
      </c>
    </row>
    <row r="90" spans="1:14" ht="45" customHeight="1">
      <c r="A90" s="135"/>
      <c r="B90" s="129"/>
      <c r="C90" s="136"/>
      <c r="D90" s="131"/>
      <c r="E90" s="125"/>
      <c r="F90" s="132"/>
      <c r="G90" s="133"/>
      <c r="H90" s="137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e">
        <f t="shared" si="8"/>
        <v>#N/A</v>
      </c>
    </row>
    <row r="91" spans="1:14" ht="45" customHeight="1">
      <c r="A91" s="135"/>
      <c r="B91" s="129"/>
      <c r="C91" s="136"/>
      <c r="D91" s="131"/>
      <c r="E91" s="125"/>
      <c r="F91" s="132"/>
      <c r="G91" s="133"/>
      <c r="H91" s="137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e">
        <f t="shared" si="8"/>
        <v>#N/A</v>
      </c>
    </row>
    <row r="92" spans="1:14" ht="45" customHeight="1">
      <c r="A92" s="135"/>
      <c r="B92" s="129"/>
      <c r="C92" s="136"/>
      <c r="D92" s="131"/>
      <c r="E92" s="125"/>
      <c r="F92" s="132"/>
      <c r="G92" s="133"/>
      <c r="H92" s="137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e">
        <f t="shared" si="8"/>
        <v>#N/A</v>
      </c>
    </row>
    <row r="93" spans="1:14" ht="45" customHeight="1">
      <c r="A93" s="135"/>
      <c r="B93" s="129"/>
      <c r="C93" s="136"/>
      <c r="D93" s="131"/>
      <c r="E93" s="125"/>
      <c r="F93" s="132"/>
      <c r="G93" s="133"/>
      <c r="H93" s="137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e">
        <f t="shared" si="8"/>
        <v>#N/A</v>
      </c>
    </row>
    <row r="94" spans="1:14" ht="45" customHeight="1">
      <c r="A94" s="135"/>
      <c r="B94" s="129"/>
      <c r="C94" s="136"/>
      <c r="D94" s="131"/>
      <c r="E94" s="125"/>
      <c r="F94" s="132"/>
      <c r="G94" s="133"/>
      <c r="H94" s="137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e">
        <f t="shared" si="8"/>
        <v>#N/A</v>
      </c>
    </row>
    <row r="95" spans="1:14" ht="45" customHeight="1">
      <c r="A95" s="135"/>
      <c r="B95" s="129"/>
      <c r="C95" s="136"/>
      <c r="D95" s="131"/>
      <c r="E95" s="125"/>
      <c r="F95" s="132"/>
      <c r="G95" s="133"/>
      <c r="H95" s="137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e">
        <f t="shared" si="8"/>
        <v>#N/A</v>
      </c>
    </row>
    <row r="96" spans="1:14" ht="45" customHeight="1">
      <c r="A96" s="135"/>
      <c r="B96" s="129"/>
      <c r="C96" s="136"/>
      <c r="D96" s="131"/>
      <c r="E96" s="125"/>
      <c r="F96" s="132"/>
      <c r="G96" s="133"/>
      <c r="H96" s="137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e">
        <f t="shared" si="8"/>
        <v>#N/A</v>
      </c>
    </row>
    <row r="97" spans="1:14" ht="45" customHeight="1">
      <c r="A97" s="135"/>
      <c r="B97" s="129"/>
      <c r="C97" s="136"/>
      <c r="D97" s="131"/>
      <c r="E97" s="125"/>
      <c r="F97" s="132"/>
      <c r="G97" s="133"/>
      <c r="H97" s="137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e">
        <f t="shared" si="8"/>
        <v>#N/A</v>
      </c>
    </row>
    <row r="98" spans="1:14" ht="45" customHeight="1">
      <c r="A98" s="135"/>
      <c r="B98" s="129"/>
      <c r="C98" s="136"/>
      <c r="D98" s="131"/>
      <c r="E98" s="125"/>
      <c r="F98" s="132"/>
      <c r="G98" s="133"/>
      <c r="H98" s="137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e">
        <f t="shared" si="8"/>
        <v>#N/A</v>
      </c>
    </row>
    <row r="99" spans="1:14" ht="45" customHeight="1">
      <c r="A99" s="135"/>
      <c r="B99" s="129"/>
      <c r="C99" s="136"/>
      <c r="D99" s="131"/>
      <c r="E99" s="125"/>
      <c r="F99" s="132"/>
      <c r="G99" s="133"/>
      <c r="H99" s="137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e">
        <f t="shared" si="8"/>
        <v>#N/A</v>
      </c>
    </row>
    <row r="100" spans="1:14" ht="45" customHeight="1">
      <c r="A100" s="135"/>
      <c r="B100" s="129"/>
      <c r="C100" s="136"/>
      <c r="D100" s="131"/>
      <c r="E100" s="125"/>
      <c r="F100" s="132"/>
      <c r="G100" s="133"/>
      <c r="H100" s="137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e">
        <f t="shared" si="8"/>
        <v>#N/A</v>
      </c>
    </row>
    <row r="101" spans="1:14" ht="45" customHeight="1">
      <c r="A101" s="135"/>
      <c r="B101" s="129"/>
      <c r="C101" s="136"/>
      <c r="D101" s="131"/>
      <c r="E101" s="125"/>
      <c r="F101" s="132"/>
      <c r="G101" s="133"/>
      <c r="H101" s="137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e">
        <f t="shared" si="8"/>
        <v>#N/A</v>
      </c>
    </row>
    <row r="102" spans="1:14" ht="45" customHeight="1">
      <c r="A102" s="135"/>
      <c r="B102" s="129"/>
      <c r="C102" s="136"/>
      <c r="D102" s="131"/>
      <c r="E102" s="125"/>
      <c r="F102" s="132"/>
      <c r="G102" s="133"/>
      <c r="H102" s="137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e">
        <f t="shared" si="8"/>
        <v>#N/A</v>
      </c>
    </row>
    <row r="103" spans="1:14" ht="45" customHeight="1">
      <c r="A103" s="135"/>
      <c r="B103" s="129"/>
      <c r="C103" s="136"/>
      <c r="D103" s="131"/>
      <c r="E103" s="125"/>
      <c r="F103" s="132"/>
      <c r="G103" s="133"/>
      <c r="H103" s="137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e">
        <f t="shared" si="8"/>
        <v>#N/A</v>
      </c>
    </row>
    <row r="104" spans="1:14" ht="45" customHeight="1">
      <c r="A104" s="135"/>
      <c r="B104" s="129"/>
      <c r="C104" s="136"/>
      <c r="D104" s="131"/>
      <c r="E104" s="125"/>
      <c r="F104" s="132"/>
      <c r="G104" s="133"/>
      <c r="H104" s="137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e">
        <f t="shared" si="8"/>
        <v>#N/A</v>
      </c>
    </row>
    <row r="105" spans="1:14" ht="45" customHeight="1">
      <c r="A105" s="135"/>
      <c r="B105" s="129"/>
      <c r="C105" s="136"/>
      <c r="D105" s="131"/>
      <c r="E105" s="125"/>
      <c r="F105" s="132"/>
      <c r="G105" s="133"/>
      <c r="H105" s="137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e">
        <f t="shared" si="8"/>
        <v>#N/A</v>
      </c>
    </row>
    <row r="106" spans="1:14" ht="45" customHeight="1">
      <c r="A106" s="135"/>
      <c r="B106" s="129"/>
      <c r="C106" s="136"/>
      <c r="D106" s="131"/>
      <c r="E106" s="125"/>
      <c r="F106" s="132"/>
      <c r="G106" s="133"/>
      <c r="H106" s="137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e">
        <f t="shared" si="8"/>
        <v>#N/A</v>
      </c>
    </row>
    <row r="107" spans="1:14" ht="45" customHeight="1">
      <c r="A107" s="135"/>
      <c r="B107" s="129"/>
      <c r="C107" s="136"/>
      <c r="D107" s="131"/>
      <c r="E107" s="125"/>
      <c r="F107" s="132"/>
      <c r="G107" s="133"/>
      <c r="H107" s="137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e">
        <f t="shared" si="8"/>
        <v>#N/A</v>
      </c>
    </row>
    <row r="108" spans="1:14" ht="45" customHeight="1">
      <c r="A108" s="135"/>
      <c r="B108" s="129"/>
      <c r="C108" s="136"/>
      <c r="D108" s="131"/>
      <c r="E108" s="125"/>
      <c r="F108" s="132"/>
      <c r="G108" s="133"/>
      <c r="H108" s="137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e">
        <f t="shared" si="8"/>
        <v>#N/A</v>
      </c>
    </row>
    <row r="109" spans="1:14" ht="45" customHeight="1">
      <c r="A109" s="135"/>
      <c r="B109" s="129"/>
      <c r="C109" s="136"/>
      <c r="D109" s="131"/>
      <c r="E109" s="125"/>
      <c r="F109" s="132"/>
      <c r="G109" s="133"/>
      <c r="H109" s="137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e">
        <f t="shared" si="8"/>
        <v>#N/A</v>
      </c>
    </row>
    <row r="110" spans="1:14" ht="45" customHeight="1">
      <c r="A110" s="135"/>
      <c r="B110" s="129"/>
      <c r="C110" s="136"/>
      <c r="D110" s="131"/>
      <c r="E110" s="125"/>
      <c r="F110" s="132"/>
      <c r="G110" s="133"/>
      <c r="H110" s="137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e">
        <f t="shared" si="8"/>
        <v>#N/A</v>
      </c>
    </row>
    <row r="111" spans="1:14" ht="45" customHeight="1">
      <c r="A111" s="135"/>
      <c r="B111" s="129"/>
      <c r="C111" s="136"/>
      <c r="D111" s="131"/>
      <c r="E111" s="125"/>
      <c r="F111" s="132"/>
      <c r="G111" s="133"/>
      <c r="H111" s="137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e">
        <f t="shared" si="8"/>
        <v>#N/A</v>
      </c>
    </row>
    <row r="112" spans="1:14" ht="45" customHeight="1">
      <c r="A112" s="135"/>
      <c r="B112" s="129"/>
      <c r="C112" s="136"/>
      <c r="D112" s="131"/>
      <c r="E112" s="125"/>
      <c r="F112" s="132"/>
      <c r="G112" s="133"/>
      <c r="H112" s="137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e">
        <f t="shared" si="8"/>
        <v>#N/A</v>
      </c>
    </row>
    <row r="113" spans="1:14" ht="45" customHeight="1">
      <c r="A113" s="135"/>
      <c r="B113" s="129"/>
      <c r="C113" s="136"/>
      <c r="D113" s="131"/>
      <c r="E113" s="125"/>
      <c r="F113" s="132"/>
      <c r="G113" s="133"/>
      <c r="H113" s="137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e">
        <f t="shared" si="8"/>
        <v>#N/A</v>
      </c>
    </row>
    <row r="114" spans="1:14" ht="45" customHeight="1">
      <c r="A114" s="135"/>
      <c r="B114" s="129"/>
      <c r="C114" s="136"/>
      <c r="D114" s="131"/>
      <c r="E114" s="125"/>
      <c r="F114" s="132"/>
      <c r="G114" s="133"/>
      <c r="H114" s="137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e">
        <f t="shared" si="8"/>
        <v>#N/A</v>
      </c>
    </row>
    <row r="115" spans="1:14" ht="45" customHeight="1">
      <c r="A115" s="135"/>
      <c r="B115" s="129"/>
      <c r="C115" s="136"/>
      <c r="D115" s="131"/>
      <c r="E115" s="125"/>
      <c r="F115" s="132"/>
      <c r="G115" s="133"/>
      <c r="H115" s="137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e">
        <f t="shared" si="8"/>
        <v>#N/A</v>
      </c>
    </row>
    <row r="116" spans="1:14" ht="45" customHeight="1">
      <c r="A116" s="135"/>
      <c r="B116" s="129"/>
      <c r="C116" s="136"/>
      <c r="D116" s="131"/>
      <c r="E116" s="125"/>
      <c r="F116" s="132"/>
      <c r="G116" s="133"/>
      <c r="H116" s="137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e">
        <f t="shared" si="8"/>
        <v>#N/A</v>
      </c>
    </row>
    <row r="117" spans="1:14" ht="45" customHeight="1">
      <c r="A117" s="135"/>
      <c r="B117" s="129"/>
      <c r="C117" s="136"/>
      <c r="D117" s="131"/>
      <c r="E117" s="125"/>
      <c r="F117" s="132"/>
      <c r="G117" s="133"/>
      <c r="H117" s="137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e">
        <f t="shared" si="8"/>
        <v>#N/A</v>
      </c>
    </row>
    <row r="118" spans="1:14" ht="45" customHeight="1">
      <c r="A118" s="135"/>
      <c r="B118" s="129"/>
      <c r="C118" s="136"/>
      <c r="D118" s="131"/>
      <c r="E118" s="125"/>
      <c r="F118" s="132"/>
      <c r="G118" s="133"/>
      <c r="H118" s="137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e">
        <f t="shared" si="8"/>
        <v>#N/A</v>
      </c>
    </row>
    <row r="119" spans="1:14" ht="45" customHeight="1">
      <c r="A119" s="135"/>
      <c r="B119" s="129"/>
      <c r="C119" s="136"/>
      <c r="D119" s="131"/>
      <c r="E119" s="125"/>
      <c r="F119" s="132"/>
      <c r="G119" s="133"/>
      <c r="H119" s="137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e">
        <f t="shared" si="8"/>
        <v>#N/A</v>
      </c>
    </row>
    <row r="120" spans="1:14" ht="45" customHeight="1">
      <c r="A120" s="135"/>
      <c r="B120" s="129"/>
      <c r="C120" s="136"/>
      <c r="D120" s="131"/>
      <c r="E120" s="125"/>
      <c r="F120" s="132"/>
      <c r="G120" s="133"/>
      <c r="H120" s="137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e">
        <f t="shared" si="8"/>
        <v>#N/A</v>
      </c>
    </row>
    <row r="121" spans="1:14" ht="45" customHeight="1">
      <c r="A121" s="135"/>
      <c r="B121" s="129"/>
      <c r="C121" s="136"/>
      <c r="D121" s="131"/>
      <c r="E121" s="125"/>
      <c r="F121" s="132"/>
      <c r="G121" s="133"/>
      <c r="H121" s="137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e">
        <f t="shared" si="8"/>
        <v>#N/A</v>
      </c>
    </row>
    <row r="122" spans="1:14" ht="45" customHeight="1">
      <c r="A122" s="135"/>
      <c r="B122" s="129"/>
      <c r="C122" s="136"/>
      <c r="D122" s="131"/>
      <c r="E122" s="125"/>
      <c r="F122" s="132"/>
      <c r="G122" s="133"/>
      <c r="H122" s="137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e">
        <f t="shared" si="8"/>
        <v>#N/A</v>
      </c>
    </row>
    <row r="123" spans="1:14" ht="45" customHeight="1">
      <c r="A123" s="135"/>
      <c r="B123" s="129"/>
      <c r="C123" s="136"/>
      <c r="D123" s="131"/>
      <c r="E123" s="125"/>
      <c r="F123" s="132"/>
      <c r="G123" s="133"/>
      <c r="H123" s="137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e">
        <f t="shared" si="8"/>
        <v>#N/A</v>
      </c>
    </row>
    <row r="124" spans="1:14" ht="45" customHeight="1">
      <c r="A124" s="135"/>
      <c r="B124" s="129"/>
      <c r="C124" s="136"/>
      <c r="D124" s="131"/>
      <c r="E124" s="125"/>
      <c r="F124" s="132"/>
      <c r="G124" s="133"/>
      <c r="H124" s="137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e">
        <f t="shared" si="8"/>
        <v>#N/A</v>
      </c>
    </row>
    <row r="125" spans="1:14" ht="45" customHeight="1">
      <c r="A125" s="135"/>
      <c r="B125" s="129"/>
      <c r="C125" s="136"/>
      <c r="D125" s="131"/>
      <c r="E125" s="125"/>
      <c r="F125" s="132"/>
      <c r="G125" s="133"/>
      <c r="H125" s="137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e">
        <f t="shared" si="8"/>
        <v>#N/A</v>
      </c>
    </row>
    <row r="126" spans="1:14" ht="45" customHeight="1">
      <c r="A126" s="135"/>
      <c r="B126" s="129"/>
      <c r="C126" s="136"/>
      <c r="D126" s="131"/>
      <c r="E126" s="125"/>
      <c r="F126" s="132"/>
      <c r="G126" s="133"/>
      <c r="H126" s="137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e">
        <f t="shared" si="8"/>
        <v>#N/A</v>
      </c>
    </row>
    <row r="127" spans="1:14" ht="45" customHeight="1">
      <c r="A127" s="135"/>
      <c r="B127" s="129"/>
      <c r="C127" s="136"/>
      <c r="D127" s="131"/>
      <c r="E127" s="125"/>
      <c r="F127" s="132"/>
      <c r="G127" s="133"/>
      <c r="H127" s="137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e">
        <f t="shared" si="8"/>
        <v>#N/A</v>
      </c>
    </row>
    <row r="128" spans="1:14" ht="45" customHeight="1">
      <c r="A128" s="135"/>
      <c r="B128" s="129"/>
      <c r="C128" s="136"/>
      <c r="D128" s="131"/>
      <c r="E128" s="125"/>
      <c r="F128" s="132"/>
      <c r="G128" s="133"/>
      <c r="H128" s="137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e">
        <f t="shared" si="8"/>
        <v>#N/A</v>
      </c>
    </row>
    <row r="129" spans="1:14" ht="45" customHeight="1">
      <c r="A129" s="135"/>
      <c r="B129" s="129"/>
      <c r="C129" s="136"/>
      <c r="D129" s="131"/>
      <c r="E129" s="125"/>
      <c r="F129" s="132"/>
      <c r="G129" s="133"/>
      <c r="H129" s="137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e">
        <f t="shared" si="8"/>
        <v>#N/A</v>
      </c>
    </row>
    <row r="130" spans="1:14" ht="45" customHeight="1">
      <c r="A130" s="135"/>
      <c r="B130" s="129"/>
      <c r="C130" s="136"/>
      <c r="D130" s="131"/>
      <c r="E130" s="125"/>
      <c r="F130" s="132"/>
      <c r="G130" s="133"/>
      <c r="H130" s="137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e">
        <f t="shared" si="8"/>
        <v>#N/A</v>
      </c>
    </row>
    <row r="131" spans="1:14" ht="45" customHeight="1">
      <c r="A131" s="135"/>
      <c r="B131" s="129"/>
      <c r="C131" s="136"/>
      <c r="D131" s="131"/>
      <c r="E131" s="125"/>
      <c r="F131" s="132"/>
      <c r="G131" s="133"/>
      <c r="H131" s="137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e">
        <f t="shared" si="8"/>
        <v>#N/A</v>
      </c>
    </row>
    <row r="132" spans="1:14" ht="45" customHeight="1">
      <c r="A132" s="135"/>
      <c r="B132" s="129"/>
      <c r="C132" s="136"/>
      <c r="D132" s="131"/>
      <c r="E132" s="125"/>
      <c r="F132" s="132"/>
      <c r="G132" s="133"/>
      <c r="H132" s="137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e">
        <f t="shared" ref="N132:N195" si="13">AND($M$1="Flat Rate",M132="Staff_Costs")</f>
        <v>#N/A</v>
      </c>
    </row>
    <row r="133" spans="1:14" ht="45" customHeight="1">
      <c r="A133" s="135"/>
      <c r="B133" s="129"/>
      <c r="C133" s="136"/>
      <c r="D133" s="131"/>
      <c r="E133" s="125"/>
      <c r="F133" s="132"/>
      <c r="G133" s="133"/>
      <c r="H133" s="137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e">
        <f t="shared" si="13"/>
        <v>#N/A</v>
      </c>
    </row>
    <row r="134" spans="1:14" ht="45" customHeight="1">
      <c r="A134" s="135"/>
      <c r="B134" s="129"/>
      <c r="C134" s="136"/>
      <c r="D134" s="131"/>
      <c r="E134" s="125"/>
      <c r="F134" s="132"/>
      <c r="G134" s="133"/>
      <c r="H134" s="137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e">
        <f t="shared" si="13"/>
        <v>#N/A</v>
      </c>
    </row>
    <row r="135" spans="1:14" ht="45" customHeight="1">
      <c r="A135" s="135"/>
      <c r="B135" s="129"/>
      <c r="C135" s="136"/>
      <c r="D135" s="131"/>
      <c r="E135" s="125"/>
      <c r="F135" s="132"/>
      <c r="G135" s="133"/>
      <c r="H135" s="137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e">
        <f t="shared" si="13"/>
        <v>#N/A</v>
      </c>
    </row>
    <row r="136" spans="1:14" ht="45" customHeight="1">
      <c r="A136" s="135"/>
      <c r="B136" s="129"/>
      <c r="C136" s="136"/>
      <c r="D136" s="131"/>
      <c r="E136" s="125"/>
      <c r="F136" s="132"/>
      <c r="G136" s="133"/>
      <c r="H136" s="137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e">
        <f t="shared" si="13"/>
        <v>#N/A</v>
      </c>
    </row>
    <row r="137" spans="1:14" ht="45" customHeight="1">
      <c r="A137" s="135"/>
      <c r="B137" s="129"/>
      <c r="C137" s="136"/>
      <c r="D137" s="131"/>
      <c r="E137" s="125"/>
      <c r="F137" s="132"/>
      <c r="G137" s="133"/>
      <c r="H137" s="137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e">
        <f t="shared" si="13"/>
        <v>#N/A</v>
      </c>
    </row>
    <row r="138" spans="1:14" ht="45" customHeight="1">
      <c r="A138" s="135"/>
      <c r="B138" s="129"/>
      <c r="C138" s="136"/>
      <c r="D138" s="131"/>
      <c r="E138" s="125"/>
      <c r="F138" s="132"/>
      <c r="G138" s="133"/>
      <c r="H138" s="137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e">
        <f t="shared" si="13"/>
        <v>#N/A</v>
      </c>
    </row>
    <row r="139" spans="1:14" ht="45" customHeight="1">
      <c r="A139" s="135"/>
      <c r="B139" s="129"/>
      <c r="C139" s="136"/>
      <c r="D139" s="131"/>
      <c r="E139" s="125"/>
      <c r="F139" s="132"/>
      <c r="G139" s="133"/>
      <c r="H139" s="137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e">
        <f t="shared" si="13"/>
        <v>#N/A</v>
      </c>
    </row>
    <row r="140" spans="1:14" ht="45" customHeight="1">
      <c r="A140" s="135"/>
      <c r="B140" s="129"/>
      <c r="C140" s="136"/>
      <c r="D140" s="131"/>
      <c r="E140" s="125"/>
      <c r="F140" s="132"/>
      <c r="G140" s="133"/>
      <c r="H140" s="137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e">
        <f t="shared" si="13"/>
        <v>#N/A</v>
      </c>
    </row>
    <row r="141" spans="1:14" ht="45" customHeight="1">
      <c r="A141" s="135"/>
      <c r="B141" s="129"/>
      <c r="C141" s="136"/>
      <c r="D141" s="131"/>
      <c r="E141" s="125"/>
      <c r="F141" s="132"/>
      <c r="G141" s="133"/>
      <c r="H141" s="137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e">
        <f t="shared" si="13"/>
        <v>#N/A</v>
      </c>
    </row>
    <row r="142" spans="1:14" ht="45" customHeight="1">
      <c r="A142" s="135"/>
      <c r="B142" s="129"/>
      <c r="C142" s="136"/>
      <c r="D142" s="131"/>
      <c r="E142" s="125"/>
      <c r="F142" s="132"/>
      <c r="G142" s="133"/>
      <c r="H142" s="137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e">
        <f t="shared" si="13"/>
        <v>#N/A</v>
      </c>
    </row>
    <row r="143" spans="1:14" ht="45" customHeight="1">
      <c r="A143" s="135"/>
      <c r="B143" s="129"/>
      <c r="C143" s="136"/>
      <c r="D143" s="131"/>
      <c r="E143" s="125"/>
      <c r="F143" s="132"/>
      <c r="G143" s="133"/>
      <c r="H143" s="137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e">
        <f t="shared" si="13"/>
        <v>#N/A</v>
      </c>
    </row>
    <row r="144" spans="1:14" ht="45" customHeight="1">
      <c r="A144" s="135"/>
      <c r="B144" s="129"/>
      <c r="C144" s="136"/>
      <c r="D144" s="131"/>
      <c r="E144" s="125"/>
      <c r="F144" s="132"/>
      <c r="G144" s="133"/>
      <c r="H144" s="137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e">
        <f t="shared" si="13"/>
        <v>#N/A</v>
      </c>
    </row>
    <row r="145" spans="1:14" ht="45" customHeight="1">
      <c r="A145" s="135"/>
      <c r="B145" s="129"/>
      <c r="C145" s="136"/>
      <c r="D145" s="131"/>
      <c r="E145" s="125"/>
      <c r="F145" s="132"/>
      <c r="G145" s="133"/>
      <c r="H145" s="137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e">
        <f t="shared" si="13"/>
        <v>#N/A</v>
      </c>
    </row>
    <row r="146" spans="1:14" ht="45" customHeight="1">
      <c r="A146" s="135"/>
      <c r="B146" s="129"/>
      <c r="C146" s="136"/>
      <c r="D146" s="131"/>
      <c r="E146" s="125"/>
      <c r="F146" s="132"/>
      <c r="G146" s="133"/>
      <c r="H146" s="137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e">
        <f t="shared" si="13"/>
        <v>#N/A</v>
      </c>
    </row>
    <row r="147" spans="1:14" ht="45" customHeight="1">
      <c r="A147" s="135"/>
      <c r="B147" s="129"/>
      <c r="C147" s="136"/>
      <c r="D147" s="131"/>
      <c r="E147" s="125"/>
      <c r="F147" s="132"/>
      <c r="G147" s="133"/>
      <c r="H147" s="137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e">
        <f t="shared" si="13"/>
        <v>#N/A</v>
      </c>
    </row>
    <row r="148" spans="1:14" ht="45" customHeight="1">
      <c r="A148" s="135"/>
      <c r="B148" s="129"/>
      <c r="C148" s="136"/>
      <c r="D148" s="131"/>
      <c r="E148" s="125"/>
      <c r="F148" s="132"/>
      <c r="G148" s="133"/>
      <c r="H148" s="137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e">
        <f t="shared" si="13"/>
        <v>#N/A</v>
      </c>
    </row>
    <row r="149" spans="1:14" ht="45" customHeight="1">
      <c r="A149" s="135"/>
      <c r="B149" s="129"/>
      <c r="C149" s="136"/>
      <c r="D149" s="131"/>
      <c r="E149" s="125"/>
      <c r="F149" s="132"/>
      <c r="G149" s="133"/>
      <c r="H149" s="137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e">
        <f t="shared" si="13"/>
        <v>#N/A</v>
      </c>
    </row>
    <row r="150" spans="1:14" ht="45" customHeight="1">
      <c r="A150" s="135"/>
      <c r="B150" s="129"/>
      <c r="C150" s="136"/>
      <c r="D150" s="131"/>
      <c r="E150" s="125"/>
      <c r="F150" s="132"/>
      <c r="G150" s="133"/>
      <c r="H150" s="137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e">
        <f t="shared" si="13"/>
        <v>#N/A</v>
      </c>
    </row>
    <row r="151" spans="1:14" ht="45" customHeight="1">
      <c r="A151" s="135"/>
      <c r="B151" s="129"/>
      <c r="C151" s="136"/>
      <c r="D151" s="131"/>
      <c r="E151" s="125"/>
      <c r="F151" s="132"/>
      <c r="G151" s="133"/>
      <c r="H151" s="137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e">
        <f t="shared" si="13"/>
        <v>#N/A</v>
      </c>
    </row>
    <row r="152" spans="1:14" ht="45" customHeight="1">
      <c r="A152" s="135"/>
      <c r="B152" s="129"/>
      <c r="C152" s="136"/>
      <c r="D152" s="131"/>
      <c r="E152" s="125"/>
      <c r="F152" s="132"/>
      <c r="G152" s="133"/>
      <c r="H152" s="137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e">
        <f t="shared" si="13"/>
        <v>#N/A</v>
      </c>
    </row>
    <row r="153" spans="1:14" ht="45" customHeight="1">
      <c r="A153" s="135"/>
      <c r="B153" s="129"/>
      <c r="C153" s="136"/>
      <c r="D153" s="131"/>
      <c r="E153" s="125"/>
      <c r="F153" s="132"/>
      <c r="G153" s="133"/>
      <c r="H153" s="137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e">
        <f t="shared" si="13"/>
        <v>#N/A</v>
      </c>
    </row>
    <row r="154" spans="1:14" ht="45" customHeight="1">
      <c r="A154" s="135"/>
      <c r="B154" s="129"/>
      <c r="C154" s="136"/>
      <c r="D154" s="131"/>
      <c r="E154" s="125"/>
      <c r="F154" s="132"/>
      <c r="G154" s="133"/>
      <c r="H154" s="137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e">
        <f t="shared" si="13"/>
        <v>#N/A</v>
      </c>
    </row>
    <row r="155" spans="1:14" ht="45" customHeight="1">
      <c r="A155" s="135"/>
      <c r="B155" s="129"/>
      <c r="C155" s="136"/>
      <c r="D155" s="131"/>
      <c r="E155" s="125"/>
      <c r="F155" s="132"/>
      <c r="G155" s="133"/>
      <c r="H155" s="137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e">
        <f t="shared" si="13"/>
        <v>#N/A</v>
      </c>
    </row>
    <row r="156" spans="1:14" ht="45" customHeight="1">
      <c r="A156" s="135"/>
      <c r="B156" s="129"/>
      <c r="C156" s="136"/>
      <c r="D156" s="131"/>
      <c r="E156" s="125"/>
      <c r="F156" s="132"/>
      <c r="G156" s="133"/>
      <c r="H156" s="137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e">
        <f t="shared" si="13"/>
        <v>#N/A</v>
      </c>
    </row>
    <row r="157" spans="1:14" ht="45" customHeight="1">
      <c r="A157" s="135"/>
      <c r="B157" s="129"/>
      <c r="C157" s="136"/>
      <c r="D157" s="131"/>
      <c r="E157" s="125"/>
      <c r="F157" s="132"/>
      <c r="G157" s="133"/>
      <c r="H157" s="137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e">
        <f t="shared" si="13"/>
        <v>#N/A</v>
      </c>
    </row>
    <row r="158" spans="1:14" ht="45" customHeight="1">
      <c r="A158" s="135"/>
      <c r="B158" s="129"/>
      <c r="C158" s="136"/>
      <c r="D158" s="131"/>
      <c r="E158" s="125"/>
      <c r="F158" s="132"/>
      <c r="G158" s="133"/>
      <c r="H158" s="137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e">
        <f t="shared" si="13"/>
        <v>#N/A</v>
      </c>
    </row>
    <row r="159" spans="1:14" ht="45" customHeight="1">
      <c r="A159" s="135"/>
      <c r="B159" s="129"/>
      <c r="C159" s="136"/>
      <c r="D159" s="131"/>
      <c r="E159" s="125"/>
      <c r="F159" s="132"/>
      <c r="G159" s="133"/>
      <c r="H159" s="137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e">
        <f t="shared" si="13"/>
        <v>#N/A</v>
      </c>
    </row>
    <row r="160" spans="1:14" ht="45" customHeight="1">
      <c r="A160" s="135"/>
      <c r="B160" s="129"/>
      <c r="C160" s="136"/>
      <c r="D160" s="131"/>
      <c r="E160" s="125"/>
      <c r="F160" s="132"/>
      <c r="G160" s="133"/>
      <c r="H160" s="137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e">
        <f t="shared" si="13"/>
        <v>#N/A</v>
      </c>
    </row>
    <row r="161" spans="1:14" ht="45" customHeight="1">
      <c r="A161" s="135"/>
      <c r="B161" s="129"/>
      <c r="C161" s="136"/>
      <c r="D161" s="131"/>
      <c r="E161" s="125"/>
      <c r="F161" s="132"/>
      <c r="G161" s="133"/>
      <c r="H161" s="137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e">
        <f t="shared" si="13"/>
        <v>#N/A</v>
      </c>
    </row>
    <row r="162" spans="1:14" ht="45" customHeight="1">
      <c r="A162" s="135"/>
      <c r="B162" s="129"/>
      <c r="C162" s="136"/>
      <c r="D162" s="131"/>
      <c r="E162" s="125"/>
      <c r="F162" s="132"/>
      <c r="G162" s="133"/>
      <c r="H162" s="137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e">
        <f t="shared" si="13"/>
        <v>#N/A</v>
      </c>
    </row>
    <row r="163" spans="1:14" ht="45" customHeight="1">
      <c r="A163" s="135"/>
      <c r="B163" s="129"/>
      <c r="C163" s="136"/>
      <c r="D163" s="131"/>
      <c r="E163" s="125"/>
      <c r="F163" s="132"/>
      <c r="G163" s="133"/>
      <c r="H163" s="137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e">
        <f t="shared" si="13"/>
        <v>#N/A</v>
      </c>
    </row>
    <row r="164" spans="1:14" ht="45" customHeight="1">
      <c r="A164" s="135"/>
      <c r="B164" s="129"/>
      <c r="C164" s="136"/>
      <c r="D164" s="131"/>
      <c r="E164" s="125"/>
      <c r="F164" s="132"/>
      <c r="G164" s="133"/>
      <c r="H164" s="137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e">
        <f t="shared" si="13"/>
        <v>#N/A</v>
      </c>
    </row>
    <row r="165" spans="1:14" ht="45" customHeight="1">
      <c r="A165" s="135"/>
      <c r="B165" s="129"/>
      <c r="C165" s="136"/>
      <c r="D165" s="131"/>
      <c r="E165" s="125"/>
      <c r="F165" s="132"/>
      <c r="G165" s="133"/>
      <c r="H165" s="137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e">
        <f t="shared" si="13"/>
        <v>#N/A</v>
      </c>
    </row>
    <row r="166" spans="1:14" ht="45" customHeight="1">
      <c r="A166" s="135"/>
      <c r="B166" s="129"/>
      <c r="C166" s="136"/>
      <c r="D166" s="131"/>
      <c r="E166" s="125"/>
      <c r="F166" s="132"/>
      <c r="G166" s="133"/>
      <c r="H166" s="137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e">
        <f t="shared" si="13"/>
        <v>#N/A</v>
      </c>
    </row>
    <row r="167" spans="1:14" ht="45" customHeight="1">
      <c r="A167" s="135"/>
      <c r="B167" s="129"/>
      <c r="C167" s="136"/>
      <c r="D167" s="131"/>
      <c r="E167" s="125"/>
      <c r="F167" s="132"/>
      <c r="G167" s="133"/>
      <c r="H167" s="137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e">
        <f t="shared" si="13"/>
        <v>#N/A</v>
      </c>
    </row>
    <row r="168" spans="1:14" ht="45" customHeight="1">
      <c r="A168" s="135"/>
      <c r="B168" s="129"/>
      <c r="C168" s="136"/>
      <c r="D168" s="131"/>
      <c r="E168" s="125"/>
      <c r="F168" s="132"/>
      <c r="G168" s="133"/>
      <c r="H168" s="137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e">
        <f t="shared" si="13"/>
        <v>#N/A</v>
      </c>
    </row>
    <row r="169" spans="1:14" ht="45" customHeight="1">
      <c r="A169" s="135"/>
      <c r="B169" s="129"/>
      <c r="C169" s="136"/>
      <c r="D169" s="131"/>
      <c r="E169" s="125"/>
      <c r="F169" s="132"/>
      <c r="G169" s="133"/>
      <c r="H169" s="137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e">
        <f t="shared" si="13"/>
        <v>#N/A</v>
      </c>
    </row>
    <row r="170" spans="1:14" ht="45" customHeight="1">
      <c r="A170" s="135"/>
      <c r="B170" s="129"/>
      <c r="C170" s="136"/>
      <c r="D170" s="131"/>
      <c r="E170" s="125"/>
      <c r="F170" s="132"/>
      <c r="G170" s="133"/>
      <c r="H170" s="137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e">
        <f t="shared" si="13"/>
        <v>#N/A</v>
      </c>
    </row>
    <row r="171" spans="1:14" ht="45" customHeight="1">
      <c r="A171" s="135"/>
      <c r="B171" s="129"/>
      <c r="C171" s="136"/>
      <c r="D171" s="131"/>
      <c r="E171" s="125"/>
      <c r="F171" s="132"/>
      <c r="G171" s="133"/>
      <c r="H171" s="137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e">
        <f t="shared" si="13"/>
        <v>#N/A</v>
      </c>
    </row>
    <row r="172" spans="1:14" ht="45" customHeight="1">
      <c r="A172" s="135"/>
      <c r="B172" s="129"/>
      <c r="C172" s="136"/>
      <c r="D172" s="131"/>
      <c r="E172" s="125"/>
      <c r="F172" s="132"/>
      <c r="G172" s="133"/>
      <c r="H172" s="137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e">
        <f t="shared" si="13"/>
        <v>#N/A</v>
      </c>
    </row>
    <row r="173" spans="1:14" ht="45" customHeight="1">
      <c r="A173" s="135"/>
      <c r="B173" s="129"/>
      <c r="C173" s="136"/>
      <c r="D173" s="131"/>
      <c r="E173" s="125"/>
      <c r="F173" s="132"/>
      <c r="G173" s="133"/>
      <c r="H173" s="137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e">
        <f t="shared" si="13"/>
        <v>#N/A</v>
      </c>
    </row>
    <row r="174" spans="1:14" ht="45" customHeight="1">
      <c r="A174" s="135"/>
      <c r="B174" s="129"/>
      <c r="C174" s="136"/>
      <c r="D174" s="131"/>
      <c r="E174" s="125"/>
      <c r="F174" s="132"/>
      <c r="G174" s="133"/>
      <c r="H174" s="137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e">
        <f t="shared" si="13"/>
        <v>#N/A</v>
      </c>
    </row>
    <row r="175" spans="1:14" ht="45" customHeight="1">
      <c r="A175" s="135"/>
      <c r="B175" s="129"/>
      <c r="C175" s="136"/>
      <c r="D175" s="131"/>
      <c r="E175" s="125"/>
      <c r="F175" s="132"/>
      <c r="G175" s="133"/>
      <c r="H175" s="137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e">
        <f t="shared" si="13"/>
        <v>#N/A</v>
      </c>
    </row>
    <row r="176" spans="1:14" ht="45" customHeight="1">
      <c r="A176" s="135"/>
      <c r="B176" s="129"/>
      <c r="C176" s="136"/>
      <c r="D176" s="131"/>
      <c r="E176" s="125"/>
      <c r="F176" s="132"/>
      <c r="G176" s="133"/>
      <c r="H176" s="137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e">
        <f t="shared" si="13"/>
        <v>#N/A</v>
      </c>
    </row>
    <row r="177" spans="1:14" ht="45" customHeight="1">
      <c r="A177" s="135"/>
      <c r="B177" s="129"/>
      <c r="C177" s="136"/>
      <c r="D177" s="131"/>
      <c r="E177" s="125"/>
      <c r="F177" s="132"/>
      <c r="G177" s="133"/>
      <c r="H177" s="137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e">
        <f t="shared" si="13"/>
        <v>#N/A</v>
      </c>
    </row>
    <row r="178" spans="1:14" ht="45" customHeight="1">
      <c r="A178" s="135"/>
      <c r="B178" s="129"/>
      <c r="C178" s="136"/>
      <c r="D178" s="131"/>
      <c r="E178" s="125"/>
      <c r="F178" s="132"/>
      <c r="G178" s="133"/>
      <c r="H178" s="137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e">
        <f t="shared" si="13"/>
        <v>#N/A</v>
      </c>
    </row>
    <row r="179" spans="1:14" ht="45" customHeight="1">
      <c r="A179" s="135"/>
      <c r="B179" s="129"/>
      <c r="C179" s="136"/>
      <c r="D179" s="131"/>
      <c r="E179" s="125"/>
      <c r="F179" s="132"/>
      <c r="G179" s="133"/>
      <c r="H179" s="137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e">
        <f t="shared" si="13"/>
        <v>#N/A</v>
      </c>
    </row>
    <row r="180" spans="1:14" ht="45" customHeight="1">
      <c r="A180" s="135"/>
      <c r="B180" s="129"/>
      <c r="C180" s="136"/>
      <c r="D180" s="131"/>
      <c r="E180" s="125"/>
      <c r="F180" s="132"/>
      <c r="G180" s="133"/>
      <c r="H180" s="137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e">
        <f t="shared" si="13"/>
        <v>#N/A</v>
      </c>
    </row>
    <row r="181" spans="1:14" ht="45" customHeight="1">
      <c r="A181" s="135"/>
      <c r="B181" s="129"/>
      <c r="C181" s="136"/>
      <c r="D181" s="131"/>
      <c r="E181" s="125"/>
      <c r="F181" s="132"/>
      <c r="G181" s="133"/>
      <c r="H181" s="137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e">
        <f t="shared" si="13"/>
        <v>#N/A</v>
      </c>
    </row>
    <row r="182" spans="1:14" ht="45" customHeight="1">
      <c r="A182" s="135"/>
      <c r="B182" s="129"/>
      <c r="C182" s="136"/>
      <c r="D182" s="131"/>
      <c r="E182" s="125"/>
      <c r="F182" s="132"/>
      <c r="G182" s="133"/>
      <c r="H182" s="137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e">
        <f t="shared" si="13"/>
        <v>#N/A</v>
      </c>
    </row>
    <row r="183" spans="1:14" ht="45" customHeight="1">
      <c r="A183" s="135"/>
      <c r="B183" s="129"/>
      <c r="C183" s="136"/>
      <c r="D183" s="131"/>
      <c r="E183" s="125"/>
      <c r="F183" s="132"/>
      <c r="G183" s="133"/>
      <c r="H183" s="137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e">
        <f t="shared" si="13"/>
        <v>#N/A</v>
      </c>
    </row>
    <row r="184" spans="1:14" ht="45" customHeight="1">
      <c r="A184" s="135"/>
      <c r="B184" s="129"/>
      <c r="C184" s="136"/>
      <c r="D184" s="131"/>
      <c r="E184" s="125"/>
      <c r="F184" s="132"/>
      <c r="G184" s="133"/>
      <c r="H184" s="137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e">
        <f t="shared" si="13"/>
        <v>#N/A</v>
      </c>
    </row>
    <row r="185" spans="1:14" ht="45" customHeight="1">
      <c r="A185" s="135"/>
      <c r="B185" s="129"/>
      <c r="C185" s="136"/>
      <c r="D185" s="131"/>
      <c r="E185" s="125"/>
      <c r="F185" s="132"/>
      <c r="G185" s="133"/>
      <c r="H185" s="137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e">
        <f t="shared" si="13"/>
        <v>#N/A</v>
      </c>
    </row>
    <row r="186" spans="1:14" ht="45" customHeight="1">
      <c r="A186" s="135"/>
      <c r="B186" s="129"/>
      <c r="C186" s="136"/>
      <c r="D186" s="131"/>
      <c r="E186" s="125"/>
      <c r="F186" s="132"/>
      <c r="G186" s="133"/>
      <c r="H186" s="137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e">
        <f t="shared" si="13"/>
        <v>#N/A</v>
      </c>
    </row>
    <row r="187" spans="1:14" ht="45" customHeight="1">
      <c r="A187" s="135"/>
      <c r="B187" s="129"/>
      <c r="C187" s="136"/>
      <c r="D187" s="131"/>
      <c r="E187" s="125"/>
      <c r="F187" s="132"/>
      <c r="G187" s="133"/>
      <c r="H187" s="137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e">
        <f t="shared" si="13"/>
        <v>#N/A</v>
      </c>
    </row>
    <row r="188" spans="1:14" ht="45" customHeight="1">
      <c r="A188" s="135"/>
      <c r="B188" s="129"/>
      <c r="C188" s="136"/>
      <c r="D188" s="131"/>
      <c r="E188" s="125"/>
      <c r="F188" s="132"/>
      <c r="G188" s="133"/>
      <c r="H188" s="137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e">
        <f t="shared" si="13"/>
        <v>#N/A</v>
      </c>
    </row>
    <row r="189" spans="1:14" ht="45" customHeight="1">
      <c r="A189" s="135"/>
      <c r="B189" s="129"/>
      <c r="C189" s="136"/>
      <c r="D189" s="131"/>
      <c r="E189" s="125"/>
      <c r="F189" s="132"/>
      <c r="G189" s="133"/>
      <c r="H189" s="137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e">
        <f t="shared" si="13"/>
        <v>#N/A</v>
      </c>
    </row>
    <row r="190" spans="1:14" ht="45" customHeight="1">
      <c r="A190" s="135"/>
      <c r="B190" s="129"/>
      <c r="C190" s="136"/>
      <c r="D190" s="131"/>
      <c r="E190" s="125"/>
      <c r="F190" s="132"/>
      <c r="G190" s="133"/>
      <c r="H190" s="137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e">
        <f t="shared" si="13"/>
        <v>#N/A</v>
      </c>
    </row>
    <row r="191" spans="1:14" ht="45" customHeight="1">
      <c r="A191" s="135"/>
      <c r="B191" s="129"/>
      <c r="C191" s="136"/>
      <c r="D191" s="131"/>
      <c r="E191" s="125"/>
      <c r="F191" s="132"/>
      <c r="G191" s="133"/>
      <c r="H191" s="137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e">
        <f t="shared" si="13"/>
        <v>#N/A</v>
      </c>
    </row>
    <row r="192" spans="1:14" ht="45" customHeight="1">
      <c r="A192" s="135"/>
      <c r="B192" s="129"/>
      <c r="C192" s="136"/>
      <c r="D192" s="131"/>
      <c r="E192" s="125"/>
      <c r="F192" s="132"/>
      <c r="G192" s="133"/>
      <c r="H192" s="137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e">
        <f t="shared" si="13"/>
        <v>#N/A</v>
      </c>
    </row>
    <row r="193" spans="1:16" ht="45" customHeight="1">
      <c r="A193" s="135"/>
      <c r="B193" s="129"/>
      <c r="C193" s="136"/>
      <c r="D193" s="131"/>
      <c r="E193" s="125"/>
      <c r="F193" s="132"/>
      <c r="G193" s="133"/>
      <c r="H193" s="137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e">
        <f t="shared" si="13"/>
        <v>#N/A</v>
      </c>
    </row>
    <row r="194" spans="1:16" ht="45" customHeight="1">
      <c r="A194" s="135"/>
      <c r="B194" s="129"/>
      <c r="C194" s="136"/>
      <c r="D194" s="131"/>
      <c r="E194" s="125"/>
      <c r="F194" s="132"/>
      <c r="G194" s="133"/>
      <c r="H194" s="137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e">
        <f t="shared" si="13"/>
        <v>#N/A</v>
      </c>
    </row>
    <row r="195" spans="1:16" ht="45" customHeight="1">
      <c r="A195" s="135"/>
      <c r="B195" s="129"/>
      <c r="C195" s="136"/>
      <c r="D195" s="131"/>
      <c r="E195" s="125"/>
      <c r="F195" s="132"/>
      <c r="G195" s="133"/>
      <c r="H195" s="137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e">
        <f t="shared" si="13"/>
        <v>#N/A</v>
      </c>
    </row>
    <row r="196" spans="1:16" ht="45" customHeight="1">
      <c r="A196" s="135"/>
      <c r="B196" s="129"/>
      <c r="C196" s="136"/>
      <c r="D196" s="131"/>
      <c r="E196" s="125"/>
      <c r="F196" s="132"/>
      <c r="G196" s="133"/>
      <c r="H196" s="137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e">
        <f t="shared" ref="N196:N201" si="18">AND($M$1="Flat Rate",M196="Staff_Costs")</f>
        <v>#N/A</v>
      </c>
    </row>
    <row r="197" spans="1:16" ht="45" customHeight="1">
      <c r="A197" s="135"/>
      <c r="B197" s="129"/>
      <c r="C197" s="136"/>
      <c r="D197" s="131"/>
      <c r="E197" s="125"/>
      <c r="F197" s="132"/>
      <c r="G197" s="133"/>
      <c r="H197" s="137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e">
        <f t="shared" si="18"/>
        <v>#N/A</v>
      </c>
    </row>
    <row r="198" spans="1:16" ht="47.25" customHeight="1">
      <c r="A198" s="135"/>
      <c r="B198" s="129"/>
      <c r="C198" s="136"/>
      <c r="D198" s="131"/>
      <c r="E198" s="125"/>
      <c r="F198" s="132"/>
      <c r="G198" s="133"/>
      <c r="H198" s="137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e">
        <f t="shared" si="18"/>
        <v>#N/A</v>
      </c>
    </row>
    <row r="199" spans="1:16" ht="47.25" customHeight="1">
      <c r="A199" s="135"/>
      <c r="B199" s="129"/>
      <c r="C199" s="136"/>
      <c r="D199" s="131"/>
      <c r="E199" s="125"/>
      <c r="F199" s="132"/>
      <c r="G199" s="133"/>
      <c r="H199" s="137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e">
        <f t="shared" si="18"/>
        <v>#N/A</v>
      </c>
    </row>
    <row r="200" spans="1:16" ht="47.25" customHeight="1">
      <c r="A200" s="135"/>
      <c r="B200" s="129"/>
      <c r="C200" s="136"/>
      <c r="D200" s="131"/>
      <c r="E200" s="125"/>
      <c r="F200" s="132"/>
      <c r="G200" s="133"/>
      <c r="H200" s="137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e">
        <f t="shared" si="18"/>
        <v>#N/A</v>
      </c>
    </row>
    <row r="201" spans="1:16" ht="47.25" customHeight="1">
      <c r="A201" s="135"/>
      <c r="B201" s="129"/>
      <c r="C201" s="136"/>
      <c r="D201" s="131"/>
      <c r="E201" s="125"/>
      <c r="F201" s="132"/>
      <c r="G201" s="133"/>
      <c r="H201" s="137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e">
        <f t="shared" si="18"/>
        <v>#N/A</v>
      </c>
    </row>
    <row r="202" spans="1:16" ht="18.75">
      <c r="L202" t="s">
        <v>524</v>
      </c>
      <c r="M202" s="66" t="str">
        <f>IF(I1=0,"-",IF(M203=0,"No Staff Costs",IF(P204=TRUE,"ERROR",IF(N204=TRUE,"Flat Rate", IF(N204=FALSE,"Real Costs", )))))</f>
        <v>-</v>
      </c>
      <c r="N202" t="s">
        <v>521</v>
      </c>
      <c r="O202" t="s">
        <v>522</v>
      </c>
      <c r="P202" t="s">
        <v>523</v>
      </c>
    </row>
    <row r="203" spans="1:16">
      <c r="L203" t="s">
        <v>526</v>
      </c>
      <c r="M203">
        <f>COUNTIF(L3:L201,"Staff*")</f>
        <v>0</v>
      </c>
    </row>
    <row r="204" spans="1:16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>
      <c r="L205" t="s">
        <v>518</v>
      </c>
      <c r="M205">
        <f>COUNTIF(L3:L201,"Staff Costs-Real*")</f>
        <v>0</v>
      </c>
    </row>
    <row r="206" spans="1:16" ht="18.75">
      <c r="L206" t="s">
        <v>525</v>
      </c>
      <c r="M206" s="66" t="str">
        <f>IF(I1=0,"-",IF(M207=0,"No O&amp;A Costs",IF(P208=TRUE,"ERROR",IF(N208=TRUE,"Flat Rate", IF(N208=FALSE,"Real Costs", )))))</f>
        <v>-</v>
      </c>
    </row>
    <row r="207" spans="1:16">
      <c r="L207" t="s">
        <v>527</v>
      </c>
      <c r="M207">
        <f>COUNTIF(L3:L201,"Office*")</f>
        <v>0</v>
      </c>
    </row>
    <row r="208" spans="1:16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>
      <c r="L209" t="s">
        <v>520</v>
      </c>
      <c r="M209">
        <f>COUNTIF(L3:L201,"Office and Administration-Real*")</f>
        <v>0</v>
      </c>
    </row>
  </sheetData>
  <sheetProtection password="C613" sheet="1" objects="1" scenarios="1" autoFilter="0"/>
  <autoFilter ref="A2:J209"/>
  <dataConsolidate/>
  <mergeCells count="1">
    <mergeCell ref="G1:H1"/>
  </mergeCells>
  <conditionalFormatting sqref="G3:G201">
    <cfRule type="expression" dxfId="99" priority="1" stopIfTrue="1">
      <formula>D3="Flat Rate"</formula>
    </cfRule>
    <cfRule type="expression" dxfId="98" priority="12" stopIfTrue="1">
      <formula>C3="Staff Costs"</formula>
    </cfRule>
    <cfRule type="expression" dxfId="97" priority="16" stopIfTrue="1">
      <formula>C3="Travel and Accommodation"</formula>
    </cfRule>
  </conditionalFormatting>
  <conditionalFormatting sqref="I3:I201">
    <cfRule type="expression" dxfId="96" priority="13" stopIfTrue="1">
      <formula>AND(C3="",NOT(H3=""))</formula>
    </cfRule>
  </conditionalFormatting>
  <conditionalFormatting sqref="I3:I201">
    <cfRule type="expression" dxfId="95" priority="10" stopIfTrue="1">
      <formula>AND(B3="",NOT(H3=""))</formula>
    </cfRule>
  </conditionalFormatting>
  <conditionalFormatting sqref="E1:F1">
    <cfRule type="cellIs" dxfId="94" priority="9" stopIfTrue="1" operator="equal">
      <formula>0</formula>
    </cfRule>
  </conditionalFormatting>
  <conditionalFormatting sqref="F3">
    <cfRule type="expression" dxfId="93" priority="4" stopIfTrue="1">
      <formula>D3="Flat Rate"</formula>
    </cfRule>
  </conditionalFormatting>
  <conditionalFormatting sqref="F4:F201">
    <cfRule type="expression" dxfId="92" priority="2" stopIfTrue="1">
      <formula>D4="Flat Rate"</formula>
    </cfRule>
  </conditionalFormatting>
  <dataValidations count="5">
    <dataValidation type="list" allowBlank="1" showInputMessage="1" showErrorMessage="1" errorTitle="Change Budget line orType" sqref="D3:D201">
      <formula1>IF(N3=TRUE,Flat,INDIRECT(M3))</formula1>
    </dataValidation>
    <dataValidation type="list" allowBlank="1" showInputMessage="1" showErrorMessage="1" sqref="B3:B201">
      <formula1>IF(A3="WP1", P1WP1, IF(A3="WP2",P1WP2,IF(A3="WP3",P1WP3,IF(A3="WP4",P1WP4,IF(A3="WP5",P1WP5,IF(A3="WP6",P1WP6,0))))))</formula1>
    </dataValidation>
    <dataValidation type="list" allowBlank="1" showInputMessage="1" showErrorMessage="1" sqref="A3:A201">
      <formula1>WPs</formula1>
    </dataValidation>
    <dataValidation type="list" allowBlank="1" showInputMessage="1" showErrorMessage="1" sqref="C3:C201">
      <formula1>Budgetline</formula1>
    </dataValidation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7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P209"/>
  <sheetViews>
    <sheetView zoomScale="55" zoomScaleNormal="55" zoomScaleSheetLayoutView="70" workbookViewId="0">
      <selection activeCell="G62" sqref="G62"/>
    </sheetView>
  </sheetViews>
  <sheetFormatPr defaultRowHeight="1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0" width="15.28515625" hidden="1" customWidth="1"/>
    <col min="11" max="12" width="0" hidden="1" customWidth="1"/>
    <col min="13" max="13" width="15.140625" hidden="1" customWidth="1"/>
    <col min="14" max="16" width="0" hidden="1" customWidth="1"/>
  </cols>
  <sheetData>
    <row r="1" spans="1:14" ht="15.75">
      <c r="A1" s="36"/>
      <c r="B1" s="36"/>
      <c r="C1" s="36"/>
      <c r="D1" s="55" t="s">
        <v>15</v>
      </c>
      <c r="E1" s="56">
        <f>'Cover page'!C23</f>
        <v>0</v>
      </c>
      <c r="F1" s="56">
        <f>'Cover page'!G23</f>
        <v>0</v>
      </c>
      <c r="G1" s="195" t="s">
        <v>412</v>
      </c>
      <c r="H1" s="196"/>
      <c r="I1" s="52">
        <f>SUMIF(B3:B201,"D*",I3:I201)</f>
        <v>0</v>
      </c>
      <c r="M1">
        <f>'Cover page'!G33</f>
        <v>0</v>
      </c>
    </row>
    <row r="2" spans="1:14" ht="32.25" customHeight="1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L2" s="65" t="s">
        <v>516</v>
      </c>
      <c r="M2" s="65" t="s">
        <v>578</v>
      </c>
      <c r="N2" s="65" t="s">
        <v>580</v>
      </c>
    </row>
    <row r="3" spans="1:14" ht="45" customHeight="1">
      <c r="A3" s="129"/>
      <c r="B3" s="129"/>
      <c r="C3" s="130"/>
      <c r="D3" s="131"/>
      <c r="E3" s="124"/>
      <c r="F3" s="132"/>
      <c r="G3" s="133"/>
      <c r="H3" s="134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e">
        <f>AND($M$1="Flat Rate",M3="Staff_Costs")</f>
        <v>#N/A</v>
      </c>
    </row>
    <row r="4" spans="1:14" ht="45" customHeight="1">
      <c r="A4" s="135"/>
      <c r="B4" s="129"/>
      <c r="C4" s="136"/>
      <c r="D4" s="131"/>
      <c r="E4" s="124"/>
      <c r="F4" s="132"/>
      <c r="G4" s="133"/>
      <c r="H4" s="137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e">
        <f t="shared" ref="N4:N67" si="3">AND($M$1="Flat Rate",M4="Staff_Costs")</f>
        <v>#N/A</v>
      </c>
    </row>
    <row r="5" spans="1:14" ht="45" customHeight="1">
      <c r="A5" s="135"/>
      <c r="B5" s="129"/>
      <c r="C5" s="136"/>
      <c r="D5" s="131"/>
      <c r="E5" s="124"/>
      <c r="F5" s="132"/>
      <c r="G5" s="133"/>
      <c r="H5" s="137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e">
        <f t="shared" si="3"/>
        <v>#N/A</v>
      </c>
    </row>
    <row r="6" spans="1:14" ht="45" customHeight="1">
      <c r="A6" s="135"/>
      <c r="B6" s="129"/>
      <c r="C6" s="136"/>
      <c r="D6" s="131"/>
      <c r="E6" s="124"/>
      <c r="F6" s="132"/>
      <c r="G6" s="133"/>
      <c r="H6" s="137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e">
        <f t="shared" si="3"/>
        <v>#N/A</v>
      </c>
    </row>
    <row r="7" spans="1:14" ht="45" customHeight="1">
      <c r="A7" s="135"/>
      <c r="B7" s="129"/>
      <c r="C7" s="136"/>
      <c r="D7" s="131"/>
      <c r="E7" s="124"/>
      <c r="F7" s="132"/>
      <c r="G7" s="133"/>
      <c r="H7" s="137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e">
        <f t="shared" si="3"/>
        <v>#N/A</v>
      </c>
    </row>
    <row r="8" spans="1:14" ht="45" customHeight="1">
      <c r="A8" s="135"/>
      <c r="B8" s="129"/>
      <c r="C8" s="136"/>
      <c r="D8" s="131"/>
      <c r="E8" s="124"/>
      <c r="F8" s="132"/>
      <c r="G8" s="133"/>
      <c r="H8" s="137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e">
        <f t="shared" si="3"/>
        <v>#N/A</v>
      </c>
    </row>
    <row r="9" spans="1:14" ht="45" customHeight="1">
      <c r="A9" s="135"/>
      <c r="B9" s="129"/>
      <c r="C9" s="136"/>
      <c r="D9" s="131"/>
      <c r="E9" s="124"/>
      <c r="F9" s="132"/>
      <c r="G9" s="133"/>
      <c r="H9" s="137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e">
        <f t="shared" si="3"/>
        <v>#N/A</v>
      </c>
    </row>
    <row r="10" spans="1:14" ht="45" customHeight="1">
      <c r="A10" s="135"/>
      <c r="B10" s="129"/>
      <c r="C10" s="136"/>
      <c r="D10" s="131"/>
      <c r="E10" s="124"/>
      <c r="F10" s="132"/>
      <c r="G10" s="133"/>
      <c r="H10" s="137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e">
        <f t="shared" si="3"/>
        <v>#N/A</v>
      </c>
    </row>
    <row r="11" spans="1:14" ht="45" customHeight="1">
      <c r="A11" s="135"/>
      <c r="B11" s="129"/>
      <c r="C11" s="136"/>
      <c r="D11" s="131"/>
      <c r="E11" s="124"/>
      <c r="F11" s="132"/>
      <c r="G11" s="133"/>
      <c r="H11" s="137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e">
        <f t="shared" si="3"/>
        <v>#N/A</v>
      </c>
    </row>
    <row r="12" spans="1:14" ht="45" customHeight="1">
      <c r="A12" s="135"/>
      <c r="B12" s="129"/>
      <c r="C12" s="136"/>
      <c r="D12" s="131"/>
      <c r="E12" s="124"/>
      <c r="F12" s="132"/>
      <c r="G12" s="133"/>
      <c r="H12" s="137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e">
        <f t="shared" si="3"/>
        <v>#N/A</v>
      </c>
    </row>
    <row r="13" spans="1:14" ht="45" customHeight="1">
      <c r="A13" s="135"/>
      <c r="B13" s="129"/>
      <c r="C13" s="136"/>
      <c r="D13" s="131"/>
      <c r="E13" s="124"/>
      <c r="F13" s="132"/>
      <c r="G13" s="133"/>
      <c r="H13" s="137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e">
        <f t="shared" si="3"/>
        <v>#N/A</v>
      </c>
    </row>
    <row r="14" spans="1:14" ht="45" customHeight="1">
      <c r="A14" s="135"/>
      <c r="B14" s="129"/>
      <c r="C14" s="136"/>
      <c r="D14" s="131"/>
      <c r="E14" s="124"/>
      <c r="F14" s="132"/>
      <c r="G14" s="133"/>
      <c r="H14" s="137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e">
        <f t="shared" si="3"/>
        <v>#N/A</v>
      </c>
    </row>
    <row r="15" spans="1:14" ht="45" customHeight="1">
      <c r="A15" s="135"/>
      <c r="B15" s="129"/>
      <c r="C15" s="136"/>
      <c r="D15" s="131"/>
      <c r="E15" s="124"/>
      <c r="F15" s="132"/>
      <c r="G15" s="133"/>
      <c r="H15" s="137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e">
        <f t="shared" si="3"/>
        <v>#N/A</v>
      </c>
    </row>
    <row r="16" spans="1:14" ht="45" customHeight="1">
      <c r="A16" s="135"/>
      <c r="B16" s="129"/>
      <c r="C16" s="136"/>
      <c r="D16" s="131"/>
      <c r="E16" s="124"/>
      <c r="F16" s="132"/>
      <c r="G16" s="133"/>
      <c r="H16" s="137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e">
        <f t="shared" si="3"/>
        <v>#N/A</v>
      </c>
    </row>
    <row r="17" spans="1:14" ht="45" customHeight="1">
      <c r="A17" s="135"/>
      <c r="B17" s="129"/>
      <c r="C17" s="136"/>
      <c r="D17" s="131"/>
      <c r="E17" s="124"/>
      <c r="F17" s="132"/>
      <c r="G17" s="133"/>
      <c r="H17" s="137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e">
        <f t="shared" si="3"/>
        <v>#N/A</v>
      </c>
    </row>
    <row r="18" spans="1:14" ht="45" customHeight="1">
      <c r="A18" s="138"/>
      <c r="B18" s="129"/>
      <c r="C18" s="139"/>
      <c r="D18" s="131"/>
      <c r="E18" s="124"/>
      <c r="F18" s="132"/>
      <c r="G18" s="133"/>
      <c r="H18" s="140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e">
        <f t="shared" si="3"/>
        <v>#N/A</v>
      </c>
    </row>
    <row r="19" spans="1:14" ht="45" customHeight="1">
      <c r="A19" s="135"/>
      <c r="B19" s="129"/>
      <c r="C19" s="136"/>
      <c r="D19" s="131"/>
      <c r="E19" s="124"/>
      <c r="F19" s="132"/>
      <c r="G19" s="133"/>
      <c r="H19" s="137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e">
        <f t="shared" si="3"/>
        <v>#N/A</v>
      </c>
    </row>
    <row r="20" spans="1:14" ht="45" customHeight="1">
      <c r="A20" s="135"/>
      <c r="B20" s="129"/>
      <c r="C20" s="136"/>
      <c r="D20" s="131"/>
      <c r="E20" s="124"/>
      <c r="F20" s="132"/>
      <c r="G20" s="133"/>
      <c r="H20" s="137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e">
        <f t="shared" si="3"/>
        <v>#N/A</v>
      </c>
    </row>
    <row r="21" spans="1:14" ht="45" customHeight="1">
      <c r="A21" s="135"/>
      <c r="B21" s="129"/>
      <c r="C21" s="136"/>
      <c r="D21" s="131"/>
      <c r="E21" s="124"/>
      <c r="F21" s="132"/>
      <c r="G21" s="133"/>
      <c r="H21" s="137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e">
        <f t="shared" si="3"/>
        <v>#N/A</v>
      </c>
    </row>
    <row r="22" spans="1:14" ht="45" customHeight="1">
      <c r="A22" s="135"/>
      <c r="B22" s="129"/>
      <c r="C22" s="136"/>
      <c r="D22" s="131"/>
      <c r="E22" s="124"/>
      <c r="F22" s="132"/>
      <c r="G22" s="133"/>
      <c r="H22" s="137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e">
        <f t="shared" si="3"/>
        <v>#N/A</v>
      </c>
    </row>
    <row r="23" spans="1:14" ht="45" customHeight="1">
      <c r="A23" s="135"/>
      <c r="B23" s="129"/>
      <c r="C23" s="136"/>
      <c r="D23" s="131"/>
      <c r="E23" s="124"/>
      <c r="F23" s="132"/>
      <c r="G23" s="133"/>
      <c r="H23" s="137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e">
        <f t="shared" si="3"/>
        <v>#N/A</v>
      </c>
    </row>
    <row r="24" spans="1:14" ht="45" customHeight="1">
      <c r="A24" s="135"/>
      <c r="B24" s="129"/>
      <c r="C24" s="136"/>
      <c r="D24" s="131"/>
      <c r="E24" s="124"/>
      <c r="F24" s="132"/>
      <c r="G24" s="133"/>
      <c r="H24" s="137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e">
        <f t="shared" si="3"/>
        <v>#N/A</v>
      </c>
    </row>
    <row r="25" spans="1:14" ht="45" customHeight="1">
      <c r="A25" s="135"/>
      <c r="B25" s="129"/>
      <c r="C25" s="136"/>
      <c r="D25" s="131"/>
      <c r="E25" s="124"/>
      <c r="F25" s="132"/>
      <c r="G25" s="133"/>
      <c r="H25" s="137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e">
        <f t="shared" si="3"/>
        <v>#N/A</v>
      </c>
    </row>
    <row r="26" spans="1:14" ht="45" customHeight="1">
      <c r="A26" s="135"/>
      <c r="B26" s="129"/>
      <c r="C26" s="136"/>
      <c r="D26" s="131"/>
      <c r="E26" s="124"/>
      <c r="F26" s="132"/>
      <c r="G26" s="133"/>
      <c r="H26" s="137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e">
        <f t="shared" si="3"/>
        <v>#N/A</v>
      </c>
    </row>
    <row r="27" spans="1:14" ht="45" customHeight="1">
      <c r="A27" s="135"/>
      <c r="B27" s="129"/>
      <c r="C27" s="136"/>
      <c r="D27" s="131"/>
      <c r="E27" s="124"/>
      <c r="F27" s="132"/>
      <c r="G27" s="133"/>
      <c r="H27" s="137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e">
        <f t="shared" si="3"/>
        <v>#N/A</v>
      </c>
    </row>
    <row r="28" spans="1:14" ht="45" customHeight="1">
      <c r="A28" s="135"/>
      <c r="B28" s="129"/>
      <c r="C28" s="136"/>
      <c r="D28" s="131"/>
      <c r="E28" s="124"/>
      <c r="F28" s="132"/>
      <c r="G28" s="133"/>
      <c r="H28" s="137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e">
        <f t="shared" si="3"/>
        <v>#N/A</v>
      </c>
    </row>
    <row r="29" spans="1:14" ht="45" customHeight="1">
      <c r="A29" s="135"/>
      <c r="B29" s="129"/>
      <c r="C29" s="136"/>
      <c r="D29" s="131"/>
      <c r="E29" s="124"/>
      <c r="F29" s="132"/>
      <c r="G29" s="133"/>
      <c r="H29" s="137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e">
        <f t="shared" si="3"/>
        <v>#N/A</v>
      </c>
    </row>
    <row r="30" spans="1:14" ht="45" customHeight="1">
      <c r="A30" s="135"/>
      <c r="B30" s="129"/>
      <c r="C30" s="136"/>
      <c r="D30" s="131"/>
      <c r="E30" s="124"/>
      <c r="F30" s="132"/>
      <c r="G30" s="133"/>
      <c r="H30" s="137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e">
        <f t="shared" si="3"/>
        <v>#N/A</v>
      </c>
    </row>
    <row r="31" spans="1:14" ht="45" customHeight="1">
      <c r="A31" s="135"/>
      <c r="B31" s="129"/>
      <c r="C31" s="136"/>
      <c r="D31" s="131"/>
      <c r="E31" s="124"/>
      <c r="F31" s="132"/>
      <c r="G31" s="133"/>
      <c r="H31" s="137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e">
        <f t="shared" si="3"/>
        <v>#N/A</v>
      </c>
    </row>
    <row r="32" spans="1:14" ht="45" customHeight="1">
      <c r="A32" s="135"/>
      <c r="B32" s="129"/>
      <c r="C32" s="136"/>
      <c r="D32" s="131"/>
      <c r="E32" s="124"/>
      <c r="F32" s="132"/>
      <c r="G32" s="133"/>
      <c r="H32" s="137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e">
        <f t="shared" si="3"/>
        <v>#N/A</v>
      </c>
    </row>
    <row r="33" spans="1:14" ht="45" customHeight="1">
      <c r="A33" s="135"/>
      <c r="B33" s="129"/>
      <c r="C33" s="136"/>
      <c r="D33" s="131"/>
      <c r="E33" s="124"/>
      <c r="F33" s="132"/>
      <c r="G33" s="133"/>
      <c r="H33" s="137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e">
        <f t="shared" si="3"/>
        <v>#N/A</v>
      </c>
    </row>
    <row r="34" spans="1:14" ht="45" customHeight="1">
      <c r="A34" s="135"/>
      <c r="B34" s="129"/>
      <c r="C34" s="136"/>
      <c r="D34" s="131"/>
      <c r="E34" s="125"/>
      <c r="F34" s="132"/>
      <c r="G34" s="133"/>
      <c r="H34" s="137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e">
        <f t="shared" si="3"/>
        <v>#N/A</v>
      </c>
    </row>
    <row r="35" spans="1:14" ht="45" customHeight="1">
      <c r="A35" s="135"/>
      <c r="B35" s="129"/>
      <c r="C35" s="136"/>
      <c r="D35" s="131"/>
      <c r="E35" s="125"/>
      <c r="F35" s="132"/>
      <c r="G35" s="133"/>
      <c r="H35" s="137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e">
        <f t="shared" si="3"/>
        <v>#N/A</v>
      </c>
    </row>
    <row r="36" spans="1:14" ht="45" customHeight="1">
      <c r="A36" s="135"/>
      <c r="B36" s="129"/>
      <c r="C36" s="136"/>
      <c r="D36" s="131"/>
      <c r="E36" s="125"/>
      <c r="F36" s="132"/>
      <c r="G36" s="133"/>
      <c r="H36" s="137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e">
        <f t="shared" si="3"/>
        <v>#N/A</v>
      </c>
    </row>
    <row r="37" spans="1:14" ht="45" customHeight="1">
      <c r="A37" s="135"/>
      <c r="B37" s="129"/>
      <c r="C37" s="136"/>
      <c r="D37" s="131"/>
      <c r="E37" s="125"/>
      <c r="F37" s="132"/>
      <c r="G37" s="133"/>
      <c r="H37" s="137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e">
        <f t="shared" si="3"/>
        <v>#N/A</v>
      </c>
    </row>
    <row r="38" spans="1:14" ht="45" customHeight="1">
      <c r="A38" s="135"/>
      <c r="B38" s="129"/>
      <c r="C38" s="136"/>
      <c r="D38" s="131"/>
      <c r="E38" s="125"/>
      <c r="F38" s="132"/>
      <c r="G38" s="133"/>
      <c r="H38" s="137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e">
        <f t="shared" si="3"/>
        <v>#N/A</v>
      </c>
    </row>
    <row r="39" spans="1:14" ht="45" customHeight="1">
      <c r="A39" s="135"/>
      <c r="B39" s="129"/>
      <c r="C39" s="136"/>
      <c r="D39" s="131"/>
      <c r="E39" s="125"/>
      <c r="F39" s="132"/>
      <c r="G39" s="133"/>
      <c r="H39" s="137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e">
        <f t="shared" si="3"/>
        <v>#N/A</v>
      </c>
    </row>
    <row r="40" spans="1:14" ht="45" customHeight="1">
      <c r="A40" s="135"/>
      <c r="B40" s="129"/>
      <c r="C40" s="136"/>
      <c r="D40" s="131"/>
      <c r="E40" s="125"/>
      <c r="F40" s="132"/>
      <c r="G40" s="133"/>
      <c r="H40" s="137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e">
        <f t="shared" si="3"/>
        <v>#N/A</v>
      </c>
    </row>
    <row r="41" spans="1:14" ht="45" customHeight="1">
      <c r="A41" s="135"/>
      <c r="B41" s="129"/>
      <c r="C41" s="136"/>
      <c r="D41" s="131"/>
      <c r="E41" s="125"/>
      <c r="F41" s="132"/>
      <c r="G41" s="133"/>
      <c r="H41" s="137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e">
        <f t="shared" si="3"/>
        <v>#N/A</v>
      </c>
    </row>
    <row r="42" spans="1:14" ht="45" customHeight="1">
      <c r="A42" s="135"/>
      <c r="B42" s="129"/>
      <c r="C42" s="136"/>
      <c r="D42" s="131"/>
      <c r="E42" s="125"/>
      <c r="F42" s="132"/>
      <c r="G42" s="133"/>
      <c r="H42" s="137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e">
        <f t="shared" si="3"/>
        <v>#N/A</v>
      </c>
    </row>
    <row r="43" spans="1:14" ht="45" customHeight="1">
      <c r="A43" s="135"/>
      <c r="B43" s="129"/>
      <c r="C43" s="136"/>
      <c r="D43" s="131"/>
      <c r="E43" s="125"/>
      <c r="F43" s="132"/>
      <c r="G43" s="133"/>
      <c r="H43" s="137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e">
        <f t="shared" si="3"/>
        <v>#N/A</v>
      </c>
    </row>
    <row r="44" spans="1:14" ht="45" customHeight="1">
      <c r="A44" s="135"/>
      <c r="B44" s="129"/>
      <c r="C44" s="136"/>
      <c r="D44" s="131"/>
      <c r="E44" s="125"/>
      <c r="F44" s="132"/>
      <c r="G44" s="133"/>
      <c r="H44" s="137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e">
        <f t="shared" si="3"/>
        <v>#N/A</v>
      </c>
    </row>
    <row r="45" spans="1:14" ht="45" customHeight="1">
      <c r="A45" s="135"/>
      <c r="B45" s="129"/>
      <c r="C45" s="136"/>
      <c r="D45" s="131"/>
      <c r="E45" s="125"/>
      <c r="F45" s="132"/>
      <c r="G45" s="133"/>
      <c r="H45" s="137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e">
        <f t="shared" si="3"/>
        <v>#N/A</v>
      </c>
    </row>
    <row r="46" spans="1:14" ht="45" customHeight="1">
      <c r="A46" s="135"/>
      <c r="B46" s="129"/>
      <c r="C46" s="136"/>
      <c r="D46" s="131"/>
      <c r="E46" s="125"/>
      <c r="F46" s="132"/>
      <c r="G46" s="133"/>
      <c r="H46" s="137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e">
        <f t="shared" si="3"/>
        <v>#N/A</v>
      </c>
    </row>
    <row r="47" spans="1:14" ht="45" customHeight="1">
      <c r="A47" s="135"/>
      <c r="B47" s="129"/>
      <c r="C47" s="136"/>
      <c r="D47" s="131"/>
      <c r="E47" s="125"/>
      <c r="F47" s="132"/>
      <c r="G47" s="133"/>
      <c r="H47" s="137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e">
        <f t="shared" si="3"/>
        <v>#N/A</v>
      </c>
    </row>
    <row r="48" spans="1:14" ht="45" customHeight="1">
      <c r="A48" s="135"/>
      <c r="B48" s="129"/>
      <c r="C48" s="136"/>
      <c r="D48" s="131"/>
      <c r="E48" s="125"/>
      <c r="F48" s="132"/>
      <c r="G48" s="133"/>
      <c r="H48" s="137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e">
        <f t="shared" si="3"/>
        <v>#N/A</v>
      </c>
    </row>
    <row r="49" spans="1:14" ht="45" customHeight="1">
      <c r="A49" s="135"/>
      <c r="B49" s="129"/>
      <c r="C49" s="136"/>
      <c r="D49" s="131"/>
      <c r="E49" s="125"/>
      <c r="F49" s="132"/>
      <c r="G49" s="133"/>
      <c r="H49" s="137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e">
        <f t="shared" si="3"/>
        <v>#N/A</v>
      </c>
    </row>
    <row r="50" spans="1:14" ht="45" customHeight="1">
      <c r="A50" s="135"/>
      <c r="B50" s="129"/>
      <c r="C50" s="136"/>
      <c r="D50" s="131"/>
      <c r="E50" s="125"/>
      <c r="F50" s="132"/>
      <c r="G50" s="133"/>
      <c r="H50" s="137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e">
        <f t="shared" si="3"/>
        <v>#N/A</v>
      </c>
    </row>
    <row r="51" spans="1:14" ht="45" customHeight="1">
      <c r="A51" s="135"/>
      <c r="B51" s="129"/>
      <c r="C51" s="136"/>
      <c r="D51" s="131"/>
      <c r="E51" s="125"/>
      <c r="F51" s="132"/>
      <c r="G51" s="133"/>
      <c r="H51" s="137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e">
        <f t="shared" si="3"/>
        <v>#N/A</v>
      </c>
    </row>
    <row r="52" spans="1:14" ht="45" customHeight="1">
      <c r="A52" s="135"/>
      <c r="B52" s="129"/>
      <c r="C52" s="136"/>
      <c r="D52" s="131"/>
      <c r="E52" s="125"/>
      <c r="F52" s="132"/>
      <c r="G52" s="133"/>
      <c r="H52" s="137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e">
        <f t="shared" si="3"/>
        <v>#N/A</v>
      </c>
    </row>
    <row r="53" spans="1:14" ht="45" customHeight="1">
      <c r="A53" s="135"/>
      <c r="B53" s="129"/>
      <c r="C53" s="136"/>
      <c r="D53" s="131"/>
      <c r="E53" s="125"/>
      <c r="F53" s="132"/>
      <c r="G53" s="133"/>
      <c r="H53" s="137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e">
        <f t="shared" si="3"/>
        <v>#N/A</v>
      </c>
    </row>
    <row r="54" spans="1:14" ht="45" customHeight="1">
      <c r="A54" s="135"/>
      <c r="B54" s="129"/>
      <c r="C54" s="136"/>
      <c r="D54" s="131"/>
      <c r="E54" s="125"/>
      <c r="F54" s="132"/>
      <c r="G54" s="133"/>
      <c r="H54" s="137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e">
        <f t="shared" si="3"/>
        <v>#N/A</v>
      </c>
    </row>
    <row r="55" spans="1:14" ht="45" customHeight="1">
      <c r="A55" s="135"/>
      <c r="B55" s="129"/>
      <c r="C55" s="136"/>
      <c r="D55" s="131"/>
      <c r="E55" s="125"/>
      <c r="F55" s="132"/>
      <c r="G55" s="133"/>
      <c r="H55" s="137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e">
        <f t="shared" si="3"/>
        <v>#N/A</v>
      </c>
    </row>
    <row r="56" spans="1:14" ht="45" customHeight="1">
      <c r="A56" s="135"/>
      <c r="B56" s="129"/>
      <c r="C56" s="136"/>
      <c r="D56" s="131"/>
      <c r="E56" s="125"/>
      <c r="F56" s="132"/>
      <c r="G56" s="133"/>
      <c r="H56" s="137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e">
        <f t="shared" si="3"/>
        <v>#N/A</v>
      </c>
    </row>
    <row r="57" spans="1:14" ht="45" customHeight="1">
      <c r="A57" s="135"/>
      <c r="B57" s="129"/>
      <c r="C57" s="136"/>
      <c r="D57" s="131"/>
      <c r="E57" s="125"/>
      <c r="F57" s="132"/>
      <c r="G57" s="133"/>
      <c r="H57" s="137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e">
        <f t="shared" si="3"/>
        <v>#N/A</v>
      </c>
    </row>
    <row r="58" spans="1:14" ht="45" customHeight="1">
      <c r="A58" s="135"/>
      <c r="B58" s="129"/>
      <c r="C58" s="136"/>
      <c r="D58" s="131"/>
      <c r="E58" s="125"/>
      <c r="F58" s="132"/>
      <c r="G58" s="133"/>
      <c r="H58" s="137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e">
        <f t="shared" si="3"/>
        <v>#N/A</v>
      </c>
    </row>
    <row r="59" spans="1:14" ht="45" customHeight="1">
      <c r="A59" s="135"/>
      <c r="B59" s="129"/>
      <c r="C59" s="136"/>
      <c r="D59" s="131"/>
      <c r="E59" s="125"/>
      <c r="F59" s="132"/>
      <c r="G59" s="133"/>
      <c r="H59" s="137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e">
        <f t="shared" si="3"/>
        <v>#N/A</v>
      </c>
    </row>
    <row r="60" spans="1:14" ht="45" customHeight="1">
      <c r="A60" s="135"/>
      <c r="B60" s="129"/>
      <c r="C60" s="136"/>
      <c r="D60" s="131"/>
      <c r="E60" s="125"/>
      <c r="F60" s="132"/>
      <c r="G60" s="133"/>
      <c r="H60" s="137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e">
        <f t="shared" si="3"/>
        <v>#N/A</v>
      </c>
    </row>
    <row r="61" spans="1:14" ht="45" customHeight="1">
      <c r="A61" s="135"/>
      <c r="B61" s="129"/>
      <c r="C61" s="136"/>
      <c r="D61" s="131"/>
      <c r="E61" s="125"/>
      <c r="F61" s="132"/>
      <c r="G61" s="133"/>
      <c r="H61" s="137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e">
        <f t="shared" si="3"/>
        <v>#N/A</v>
      </c>
    </row>
    <row r="62" spans="1:14" ht="45" customHeight="1">
      <c r="A62" s="135"/>
      <c r="B62" s="129"/>
      <c r="C62" s="136"/>
      <c r="D62" s="131"/>
      <c r="E62" s="125"/>
      <c r="F62" s="132"/>
      <c r="G62" s="133"/>
      <c r="H62" s="137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e">
        <f t="shared" si="3"/>
        <v>#N/A</v>
      </c>
    </row>
    <row r="63" spans="1:14" ht="45" customHeight="1">
      <c r="A63" s="135"/>
      <c r="B63" s="129"/>
      <c r="C63" s="136"/>
      <c r="D63" s="131"/>
      <c r="E63" s="125"/>
      <c r="F63" s="132"/>
      <c r="G63" s="133"/>
      <c r="H63" s="137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e">
        <f t="shared" si="3"/>
        <v>#N/A</v>
      </c>
    </row>
    <row r="64" spans="1:14" ht="45" customHeight="1">
      <c r="A64" s="135"/>
      <c r="B64" s="129"/>
      <c r="C64" s="136"/>
      <c r="D64" s="131"/>
      <c r="E64" s="125"/>
      <c r="F64" s="132"/>
      <c r="G64" s="133"/>
      <c r="H64" s="137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e">
        <f t="shared" si="3"/>
        <v>#N/A</v>
      </c>
    </row>
    <row r="65" spans="1:14" ht="45" customHeight="1">
      <c r="A65" s="135"/>
      <c r="B65" s="129"/>
      <c r="C65" s="136"/>
      <c r="D65" s="131"/>
      <c r="E65" s="125"/>
      <c r="F65" s="132"/>
      <c r="G65" s="133"/>
      <c r="H65" s="137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e">
        <f t="shared" si="3"/>
        <v>#N/A</v>
      </c>
    </row>
    <row r="66" spans="1:14" ht="45" customHeight="1">
      <c r="A66" s="135"/>
      <c r="B66" s="129"/>
      <c r="C66" s="136"/>
      <c r="D66" s="131"/>
      <c r="E66" s="125"/>
      <c r="F66" s="132"/>
      <c r="G66" s="133"/>
      <c r="H66" s="137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e">
        <f t="shared" si="3"/>
        <v>#N/A</v>
      </c>
    </row>
    <row r="67" spans="1:14" ht="45" customHeight="1">
      <c r="A67" s="135"/>
      <c r="B67" s="129"/>
      <c r="C67" s="136"/>
      <c r="D67" s="131"/>
      <c r="E67" s="125"/>
      <c r="F67" s="132"/>
      <c r="G67" s="133"/>
      <c r="H67" s="137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e">
        <f t="shared" si="3"/>
        <v>#N/A</v>
      </c>
    </row>
    <row r="68" spans="1:14" ht="45" customHeight="1">
      <c r="A68" s="135"/>
      <c r="B68" s="129"/>
      <c r="C68" s="136"/>
      <c r="D68" s="131"/>
      <c r="E68" s="125"/>
      <c r="F68" s="132"/>
      <c r="G68" s="133"/>
      <c r="H68" s="137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e">
        <f t="shared" ref="N68:N131" si="8">AND($M$1="Flat Rate",M68="Staff_Costs")</f>
        <v>#N/A</v>
      </c>
    </row>
    <row r="69" spans="1:14" ht="45" customHeight="1">
      <c r="A69" s="135"/>
      <c r="B69" s="129"/>
      <c r="C69" s="136"/>
      <c r="D69" s="131"/>
      <c r="E69" s="125"/>
      <c r="F69" s="132"/>
      <c r="G69" s="133"/>
      <c r="H69" s="137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e">
        <f t="shared" si="8"/>
        <v>#N/A</v>
      </c>
    </row>
    <row r="70" spans="1:14" ht="45" customHeight="1">
      <c r="A70" s="135"/>
      <c r="B70" s="129"/>
      <c r="C70" s="136"/>
      <c r="D70" s="131"/>
      <c r="E70" s="125"/>
      <c r="F70" s="132"/>
      <c r="G70" s="133"/>
      <c r="H70" s="137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e">
        <f t="shared" si="8"/>
        <v>#N/A</v>
      </c>
    </row>
    <row r="71" spans="1:14" ht="45" customHeight="1">
      <c r="A71" s="135"/>
      <c r="B71" s="129"/>
      <c r="C71" s="136"/>
      <c r="D71" s="131"/>
      <c r="E71" s="125"/>
      <c r="F71" s="132"/>
      <c r="G71" s="133"/>
      <c r="H71" s="137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e">
        <f t="shared" si="8"/>
        <v>#N/A</v>
      </c>
    </row>
    <row r="72" spans="1:14" ht="45" customHeight="1">
      <c r="A72" s="135"/>
      <c r="B72" s="129"/>
      <c r="C72" s="136"/>
      <c r="D72" s="131"/>
      <c r="E72" s="125"/>
      <c r="F72" s="132"/>
      <c r="G72" s="133"/>
      <c r="H72" s="137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e">
        <f t="shared" si="8"/>
        <v>#N/A</v>
      </c>
    </row>
    <row r="73" spans="1:14" ht="45" customHeight="1">
      <c r="A73" s="135"/>
      <c r="B73" s="129"/>
      <c r="C73" s="136"/>
      <c r="D73" s="131"/>
      <c r="E73" s="125"/>
      <c r="F73" s="132"/>
      <c r="G73" s="133"/>
      <c r="H73" s="137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e">
        <f t="shared" si="8"/>
        <v>#N/A</v>
      </c>
    </row>
    <row r="74" spans="1:14" ht="45" customHeight="1">
      <c r="A74" s="135"/>
      <c r="B74" s="129"/>
      <c r="C74" s="136"/>
      <c r="D74" s="131"/>
      <c r="E74" s="125"/>
      <c r="F74" s="132"/>
      <c r="G74" s="133"/>
      <c r="H74" s="137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e">
        <f t="shared" si="8"/>
        <v>#N/A</v>
      </c>
    </row>
    <row r="75" spans="1:14" ht="45" customHeight="1">
      <c r="A75" s="135"/>
      <c r="B75" s="129"/>
      <c r="C75" s="136"/>
      <c r="D75" s="131"/>
      <c r="E75" s="125"/>
      <c r="F75" s="132"/>
      <c r="G75" s="133"/>
      <c r="H75" s="137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e">
        <f t="shared" si="8"/>
        <v>#N/A</v>
      </c>
    </row>
    <row r="76" spans="1:14" ht="45" customHeight="1">
      <c r="A76" s="135"/>
      <c r="B76" s="129"/>
      <c r="C76" s="136"/>
      <c r="D76" s="131"/>
      <c r="E76" s="125"/>
      <c r="F76" s="132"/>
      <c r="G76" s="133"/>
      <c r="H76" s="137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e">
        <f t="shared" si="8"/>
        <v>#N/A</v>
      </c>
    </row>
    <row r="77" spans="1:14" ht="45" customHeight="1">
      <c r="A77" s="135"/>
      <c r="B77" s="129"/>
      <c r="C77" s="136"/>
      <c r="D77" s="131"/>
      <c r="E77" s="125"/>
      <c r="F77" s="132"/>
      <c r="G77" s="133"/>
      <c r="H77" s="137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e">
        <f t="shared" si="8"/>
        <v>#N/A</v>
      </c>
    </row>
    <row r="78" spans="1:14" ht="45" customHeight="1">
      <c r="A78" s="135"/>
      <c r="B78" s="129"/>
      <c r="C78" s="136"/>
      <c r="D78" s="131"/>
      <c r="E78" s="125"/>
      <c r="F78" s="132"/>
      <c r="G78" s="133"/>
      <c r="H78" s="137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e">
        <f t="shared" si="8"/>
        <v>#N/A</v>
      </c>
    </row>
    <row r="79" spans="1:14" ht="45" customHeight="1">
      <c r="A79" s="135"/>
      <c r="B79" s="129"/>
      <c r="C79" s="136"/>
      <c r="D79" s="131"/>
      <c r="E79" s="125"/>
      <c r="F79" s="132"/>
      <c r="G79" s="133"/>
      <c r="H79" s="137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e">
        <f t="shared" si="8"/>
        <v>#N/A</v>
      </c>
    </row>
    <row r="80" spans="1:14" ht="45" customHeight="1">
      <c r="A80" s="135"/>
      <c r="B80" s="129"/>
      <c r="C80" s="136"/>
      <c r="D80" s="131"/>
      <c r="E80" s="125"/>
      <c r="F80" s="132"/>
      <c r="G80" s="133"/>
      <c r="H80" s="137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e">
        <f t="shared" si="8"/>
        <v>#N/A</v>
      </c>
    </row>
    <row r="81" spans="1:14" ht="45" customHeight="1">
      <c r="A81" s="135"/>
      <c r="B81" s="129"/>
      <c r="C81" s="136"/>
      <c r="D81" s="131"/>
      <c r="E81" s="125"/>
      <c r="F81" s="132"/>
      <c r="G81" s="133"/>
      <c r="H81" s="137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e">
        <f t="shared" si="8"/>
        <v>#N/A</v>
      </c>
    </row>
    <row r="82" spans="1:14" ht="45" customHeight="1">
      <c r="A82" s="135"/>
      <c r="B82" s="129"/>
      <c r="C82" s="136"/>
      <c r="D82" s="131"/>
      <c r="E82" s="125"/>
      <c r="F82" s="132"/>
      <c r="G82" s="133"/>
      <c r="H82" s="137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e">
        <f t="shared" si="8"/>
        <v>#N/A</v>
      </c>
    </row>
    <row r="83" spans="1:14" ht="45" customHeight="1">
      <c r="A83" s="135"/>
      <c r="B83" s="129"/>
      <c r="C83" s="136"/>
      <c r="D83" s="131"/>
      <c r="E83" s="125"/>
      <c r="F83" s="132"/>
      <c r="G83" s="133"/>
      <c r="H83" s="137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e">
        <f t="shared" si="8"/>
        <v>#N/A</v>
      </c>
    </row>
    <row r="84" spans="1:14" ht="45" customHeight="1">
      <c r="A84" s="135"/>
      <c r="B84" s="129"/>
      <c r="C84" s="136"/>
      <c r="D84" s="131"/>
      <c r="E84" s="125"/>
      <c r="F84" s="132"/>
      <c r="G84" s="133"/>
      <c r="H84" s="137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e">
        <f t="shared" si="8"/>
        <v>#N/A</v>
      </c>
    </row>
    <row r="85" spans="1:14" ht="45" customHeight="1">
      <c r="A85" s="135"/>
      <c r="B85" s="129"/>
      <c r="C85" s="136"/>
      <c r="D85" s="131"/>
      <c r="E85" s="125"/>
      <c r="F85" s="132"/>
      <c r="G85" s="133"/>
      <c r="H85" s="137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e">
        <f t="shared" si="8"/>
        <v>#N/A</v>
      </c>
    </row>
    <row r="86" spans="1:14" ht="45" customHeight="1">
      <c r="A86" s="135"/>
      <c r="B86" s="129"/>
      <c r="C86" s="136"/>
      <c r="D86" s="131"/>
      <c r="E86" s="125"/>
      <c r="F86" s="132"/>
      <c r="G86" s="133"/>
      <c r="H86" s="137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e">
        <f t="shared" si="8"/>
        <v>#N/A</v>
      </c>
    </row>
    <row r="87" spans="1:14" ht="45" customHeight="1">
      <c r="A87" s="135"/>
      <c r="B87" s="129"/>
      <c r="C87" s="136"/>
      <c r="D87" s="131"/>
      <c r="E87" s="125"/>
      <c r="F87" s="132"/>
      <c r="G87" s="133"/>
      <c r="H87" s="137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e">
        <f t="shared" si="8"/>
        <v>#N/A</v>
      </c>
    </row>
    <row r="88" spans="1:14" ht="45" customHeight="1">
      <c r="A88" s="135"/>
      <c r="B88" s="129"/>
      <c r="C88" s="136"/>
      <c r="D88" s="131"/>
      <c r="E88" s="125"/>
      <c r="F88" s="132"/>
      <c r="G88" s="133"/>
      <c r="H88" s="137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e">
        <f t="shared" si="8"/>
        <v>#N/A</v>
      </c>
    </row>
    <row r="89" spans="1:14" ht="45" customHeight="1">
      <c r="A89" s="135"/>
      <c r="B89" s="129"/>
      <c r="C89" s="136"/>
      <c r="D89" s="131"/>
      <c r="E89" s="125"/>
      <c r="F89" s="132"/>
      <c r="G89" s="133"/>
      <c r="H89" s="137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e">
        <f t="shared" si="8"/>
        <v>#N/A</v>
      </c>
    </row>
    <row r="90" spans="1:14" ht="45" customHeight="1">
      <c r="A90" s="135"/>
      <c r="B90" s="129"/>
      <c r="C90" s="136"/>
      <c r="D90" s="131"/>
      <c r="E90" s="125"/>
      <c r="F90" s="132"/>
      <c r="G90" s="133"/>
      <c r="H90" s="137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e">
        <f t="shared" si="8"/>
        <v>#N/A</v>
      </c>
    </row>
    <row r="91" spans="1:14" ht="45" customHeight="1">
      <c r="A91" s="135"/>
      <c r="B91" s="129"/>
      <c r="C91" s="136"/>
      <c r="D91" s="131"/>
      <c r="E91" s="125"/>
      <c r="F91" s="132"/>
      <c r="G91" s="133"/>
      <c r="H91" s="137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e">
        <f t="shared" si="8"/>
        <v>#N/A</v>
      </c>
    </row>
    <row r="92" spans="1:14" ht="45" customHeight="1">
      <c r="A92" s="135"/>
      <c r="B92" s="129"/>
      <c r="C92" s="136"/>
      <c r="D92" s="131"/>
      <c r="E92" s="125"/>
      <c r="F92" s="132"/>
      <c r="G92" s="133"/>
      <c r="H92" s="137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e">
        <f t="shared" si="8"/>
        <v>#N/A</v>
      </c>
    </row>
    <row r="93" spans="1:14" ht="45" customHeight="1">
      <c r="A93" s="135"/>
      <c r="B93" s="129"/>
      <c r="C93" s="136"/>
      <c r="D93" s="131"/>
      <c r="E93" s="125"/>
      <c r="F93" s="132"/>
      <c r="G93" s="133"/>
      <c r="H93" s="137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e">
        <f t="shared" si="8"/>
        <v>#N/A</v>
      </c>
    </row>
    <row r="94" spans="1:14" ht="45" customHeight="1">
      <c r="A94" s="135"/>
      <c r="B94" s="129"/>
      <c r="C94" s="136"/>
      <c r="D94" s="131"/>
      <c r="E94" s="125"/>
      <c r="F94" s="132"/>
      <c r="G94" s="133"/>
      <c r="H94" s="137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e">
        <f t="shared" si="8"/>
        <v>#N/A</v>
      </c>
    </row>
    <row r="95" spans="1:14" ht="45" customHeight="1">
      <c r="A95" s="135"/>
      <c r="B95" s="129"/>
      <c r="C95" s="136"/>
      <c r="D95" s="131"/>
      <c r="E95" s="125"/>
      <c r="F95" s="132"/>
      <c r="G95" s="133"/>
      <c r="H95" s="137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e">
        <f t="shared" si="8"/>
        <v>#N/A</v>
      </c>
    </row>
    <row r="96" spans="1:14" ht="45" customHeight="1">
      <c r="A96" s="135"/>
      <c r="B96" s="129"/>
      <c r="C96" s="136"/>
      <c r="D96" s="131"/>
      <c r="E96" s="125"/>
      <c r="F96" s="132"/>
      <c r="G96" s="133"/>
      <c r="H96" s="137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e">
        <f t="shared" si="8"/>
        <v>#N/A</v>
      </c>
    </row>
    <row r="97" spans="1:14" ht="45" customHeight="1">
      <c r="A97" s="135"/>
      <c r="B97" s="129"/>
      <c r="C97" s="136"/>
      <c r="D97" s="131"/>
      <c r="E97" s="125"/>
      <c r="F97" s="132"/>
      <c r="G97" s="133"/>
      <c r="H97" s="137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e">
        <f t="shared" si="8"/>
        <v>#N/A</v>
      </c>
    </row>
    <row r="98" spans="1:14" ht="45" customHeight="1">
      <c r="A98" s="135"/>
      <c r="B98" s="129"/>
      <c r="C98" s="136"/>
      <c r="D98" s="131"/>
      <c r="E98" s="125"/>
      <c r="F98" s="132"/>
      <c r="G98" s="133"/>
      <c r="H98" s="137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e">
        <f t="shared" si="8"/>
        <v>#N/A</v>
      </c>
    </row>
    <row r="99" spans="1:14" ht="45" customHeight="1">
      <c r="A99" s="135"/>
      <c r="B99" s="129"/>
      <c r="C99" s="136"/>
      <c r="D99" s="131"/>
      <c r="E99" s="125"/>
      <c r="F99" s="132"/>
      <c r="G99" s="133"/>
      <c r="H99" s="137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e">
        <f t="shared" si="8"/>
        <v>#N/A</v>
      </c>
    </row>
    <row r="100" spans="1:14" ht="45" customHeight="1">
      <c r="A100" s="135"/>
      <c r="B100" s="129"/>
      <c r="C100" s="136"/>
      <c r="D100" s="131"/>
      <c r="E100" s="125"/>
      <c r="F100" s="132"/>
      <c r="G100" s="133"/>
      <c r="H100" s="137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e">
        <f t="shared" si="8"/>
        <v>#N/A</v>
      </c>
    </row>
    <row r="101" spans="1:14" ht="45" customHeight="1">
      <c r="A101" s="135"/>
      <c r="B101" s="129"/>
      <c r="C101" s="136"/>
      <c r="D101" s="131"/>
      <c r="E101" s="125"/>
      <c r="F101" s="132"/>
      <c r="G101" s="133"/>
      <c r="H101" s="137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e">
        <f t="shared" si="8"/>
        <v>#N/A</v>
      </c>
    </row>
    <row r="102" spans="1:14" ht="45" customHeight="1">
      <c r="A102" s="135"/>
      <c r="B102" s="129"/>
      <c r="C102" s="136"/>
      <c r="D102" s="131"/>
      <c r="E102" s="125"/>
      <c r="F102" s="132"/>
      <c r="G102" s="133"/>
      <c r="H102" s="137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e">
        <f t="shared" si="8"/>
        <v>#N/A</v>
      </c>
    </row>
    <row r="103" spans="1:14" ht="45" customHeight="1">
      <c r="A103" s="135"/>
      <c r="B103" s="129"/>
      <c r="C103" s="136"/>
      <c r="D103" s="131"/>
      <c r="E103" s="125"/>
      <c r="F103" s="132"/>
      <c r="G103" s="133"/>
      <c r="H103" s="137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e">
        <f t="shared" si="8"/>
        <v>#N/A</v>
      </c>
    </row>
    <row r="104" spans="1:14" ht="45" customHeight="1">
      <c r="A104" s="135"/>
      <c r="B104" s="129"/>
      <c r="C104" s="136"/>
      <c r="D104" s="131"/>
      <c r="E104" s="125"/>
      <c r="F104" s="132"/>
      <c r="G104" s="133"/>
      <c r="H104" s="137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e">
        <f t="shared" si="8"/>
        <v>#N/A</v>
      </c>
    </row>
    <row r="105" spans="1:14" ht="45" customHeight="1">
      <c r="A105" s="135"/>
      <c r="B105" s="129"/>
      <c r="C105" s="136"/>
      <c r="D105" s="131"/>
      <c r="E105" s="125"/>
      <c r="F105" s="132"/>
      <c r="G105" s="133"/>
      <c r="H105" s="137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e">
        <f t="shared" si="8"/>
        <v>#N/A</v>
      </c>
    </row>
    <row r="106" spans="1:14" ht="45" customHeight="1">
      <c r="A106" s="135"/>
      <c r="B106" s="129"/>
      <c r="C106" s="136"/>
      <c r="D106" s="131"/>
      <c r="E106" s="125"/>
      <c r="F106" s="132"/>
      <c r="G106" s="133"/>
      <c r="H106" s="137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e">
        <f t="shared" si="8"/>
        <v>#N/A</v>
      </c>
    </row>
    <row r="107" spans="1:14" ht="45" customHeight="1">
      <c r="A107" s="135"/>
      <c r="B107" s="129"/>
      <c r="C107" s="136"/>
      <c r="D107" s="131"/>
      <c r="E107" s="125"/>
      <c r="F107" s="132"/>
      <c r="G107" s="133"/>
      <c r="H107" s="137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e">
        <f t="shared" si="8"/>
        <v>#N/A</v>
      </c>
    </row>
    <row r="108" spans="1:14" ht="45" customHeight="1">
      <c r="A108" s="135"/>
      <c r="B108" s="129"/>
      <c r="C108" s="136"/>
      <c r="D108" s="131"/>
      <c r="E108" s="125"/>
      <c r="F108" s="132"/>
      <c r="G108" s="133"/>
      <c r="H108" s="137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e">
        <f t="shared" si="8"/>
        <v>#N/A</v>
      </c>
    </row>
    <row r="109" spans="1:14" ht="45" customHeight="1">
      <c r="A109" s="135"/>
      <c r="B109" s="129"/>
      <c r="C109" s="136"/>
      <c r="D109" s="131"/>
      <c r="E109" s="125"/>
      <c r="F109" s="132"/>
      <c r="G109" s="133"/>
      <c r="H109" s="137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e">
        <f t="shared" si="8"/>
        <v>#N/A</v>
      </c>
    </row>
    <row r="110" spans="1:14" ht="45" customHeight="1">
      <c r="A110" s="135"/>
      <c r="B110" s="129"/>
      <c r="C110" s="136"/>
      <c r="D110" s="131"/>
      <c r="E110" s="125"/>
      <c r="F110" s="132"/>
      <c r="G110" s="133"/>
      <c r="H110" s="137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e">
        <f t="shared" si="8"/>
        <v>#N/A</v>
      </c>
    </row>
    <row r="111" spans="1:14" ht="45" customHeight="1">
      <c r="A111" s="135"/>
      <c r="B111" s="129"/>
      <c r="C111" s="136"/>
      <c r="D111" s="131"/>
      <c r="E111" s="125"/>
      <c r="F111" s="132"/>
      <c r="G111" s="133"/>
      <c r="H111" s="137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e">
        <f t="shared" si="8"/>
        <v>#N/A</v>
      </c>
    </row>
    <row r="112" spans="1:14" ht="45" customHeight="1">
      <c r="A112" s="135"/>
      <c r="B112" s="129"/>
      <c r="C112" s="136"/>
      <c r="D112" s="131"/>
      <c r="E112" s="125"/>
      <c r="F112" s="132"/>
      <c r="G112" s="133"/>
      <c r="H112" s="137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e">
        <f t="shared" si="8"/>
        <v>#N/A</v>
      </c>
    </row>
    <row r="113" spans="1:14" ht="45" customHeight="1">
      <c r="A113" s="135"/>
      <c r="B113" s="129"/>
      <c r="C113" s="136"/>
      <c r="D113" s="131"/>
      <c r="E113" s="125"/>
      <c r="F113" s="132"/>
      <c r="G113" s="133"/>
      <c r="H113" s="137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e">
        <f t="shared" si="8"/>
        <v>#N/A</v>
      </c>
    </row>
    <row r="114" spans="1:14" ht="45" customHeight="1">
      <c r="A114" s="135"/>
      <c r="B114" s="129"/>
      <c r="C114" s="136"/>
      <c r="D114" s="131"/>
      <c r="E114" s="125"/>
      <c r="F114" s="132"/>
      <c r="G114" s="133"/>
      <c r="H114" s="137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e">
        <f t="shared" si="8"/>
        <v>#N/A</v>
      </c>
    </row>
    <row r="115" spans="1:14" ht="45" customHeight="1">
      <c r="A115" s="135"/>
      <c r="B115" s="129"/>
      <c r="C115" s="136"/>
      <c r="D115" s="131"/>
      <c r="E115" s="125"/>
      <c r="F115" s="132"/>
      <c r="G115" s="133"/>
      <c r="H115" s="137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e">
        <f t="shared" si="8"/>
        <v>#N/A</v>
      </c>
    </row>
    <row r="116" spans="1:14" ht="45" customHeight="1">
      <c r="A116" s="135"/>
      <c r="B116" s="129"/>
      <c r="C116" s="136"/>
      <c r="D116" s="131"/>
      <c r="E116" s="125"/>
      <c r="F116" s="132"/>
      <c r="G116" s="133"/>
      <c r="H116" s="137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e">
        <f t="shared" si="8"/>
        <v>#N/A</v>
      </c>
    </row>
    <row r="117" spans="1:14" ht="45" customHeight="1">
      <c r="A117" s="135"/>
      <c r="B117" s="129"/>
      <c r="C117" s="136"/>
      <c r="D117" s="131"/>
      <c r="E117" s="125"/>
      <c r="F117" s="132"/>
      <c r="G117" s="133"/>
      <c r="H117" s="137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e">
        <f t="shared" si="8"/>
        <v>#N/A</v>
      </c>
    </row>
    <row r="118" spans="1:14" ht="45" customHeight="1">
      <c r="A118" s="135"/>
      <c r="B118" s="129"/>
      <c r="C118" s="136"/>
      <c r="D118" s="131"/>
      <c r="E118" s="125"/>
      <c r="F118" s="132"/>
      <c r="G118" s="133"/>
      <c r="H118" s="137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e">
        <f t="shared" si="8"/>
        <v>#N/A</v>
      </c>
    </row>
    <row r="119" spans="1:14" ht="45" customHeight="1">
      <c r="A119" s="135"/>
      <c r="B119" s="129"/>
      <c r="C119" s="136"/>
      <c r="D119" s="131"/>
      <c r="E119" s="125"/>
      <c r="F119" s="132"/>
      <c r="G119" s="133"/>
      <c r="H119" s="137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e">
        <f t="shared" si="8"/>
        <v>#N/A</v>
      </c>
    </row>
    <row r="120" spans="1:14" ht="45" customHeight="1">
      <c r="A120" s="135"/>
      <c r="B120" s="129"/>
      <c r="C120" s="136"/>
      <c r="D120" s="131"/>
      <c r="E120" s="125"/>
      <c r="F120" s="132"/>
      <c r="G120" s="133"/>
      <c r="H120" s="137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e">
        <f t="shared" si="8"/>
        <v>#N/A</v>
      </c>
    </row>
    <row r="121" spans="1:14" ht="45" customHeight="1">
      <c r="A121" s="135"/>
      <c r="B121" s="129"/>
      <c r="C121" s="136"/>
      <c r="D121" s="131"/>
      <c r="E121" s="125"/>
      <c r="F121" s="132"/>
      <c r="G121" s="133"/>
      <c r="H121" s="137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e">
        <f t="shared" si="8"/>
        <v>#N/A</v>
      </c>
    </row>
    <row r="122" spans="1:14" ht="45" customHeight="1">
      <c r="A122" s="135"/>
      <c r="B122" s="129"/>
      <c r="C122" s="136"/>
      <c r="D122" s="131"/>
      <c r="E122" s="125"/>
      <c r="F122" s="132"/>
      <c r="G122" s="133"/>
      <c r="H122" s="137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e">
        <f t="shared" si="8"/>
        <v>#N/A</v>
      </c>
    </row>
    <row r="123" spans="1:14" ht="45" customHeight="1">
      <c r="A123" s="135"/>
      <c r="B123" s="129"/>
      <c r="C123" s="136"/>
      <c r="D123" s="131"/>
      <c r="E123" s="125"/>
      <c r="F123" s="132"/>
      <c r="G123" s="133"/>
      <c r="H123" s="137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e">
        <f t="shared" si="8"/>
        <v>#N/A</v>
      </c>
    </row>
    <row r="124" spans="1:14" ht="45" customHeight="1">
      <c r="A124" s="135"/>
      <c r="B124" s="129"/>
      <c r="C124" s="136"/>
      <c r="D124" s="131"/>
      <c r="E124" s="125"/>
      <c r="F124" s="132"/>
      <c r="G124" s="133"/>
      <c r="H124" s="137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e">
        <f t="shared" si="8"/>
        <v>#N/A</v>
      </c>
    </row>
    <row r="125" spans="1:14" ht="45" customHeight="1">
      <c r="A125" s="135"/>
      <c r="B125" s="129"/>
      <c r="C125" s="136"/>
      <c r="D125" s="131"/>
      <c r="E125" s="125"/>
      <c r="F125" s="132"/>
      <c r="G125" s="133"/>
      <c r="H125" s="137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e">
        <f t="shared" si="8"/>
        <v>#N/A</v>
      </c>
    </row>
    <row r="126" spans="1:14" ht="45" customHeight="1">
      <c r="A126" s="135"/>
      <c r="B126" s="129"/>
      <c r="C126" s="136"/>
      <c r="D126" s="131"/>
      <c r="E126" s="125"/>
      <c r="F126" s="132"/>
      <c r="G126" s="133"/>
      <c r="H126" s="137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e">
        <f t="shared" si="8"/>
        <v>#N/A</v>
      </c>
    </row>
    <row r="127" spans="1:14" ht="45" customHeight="1">
      <c r="A127" s="135"/>
      <c r="B127" s="129"/>
      <c r="C127" s="136"/>
      <c r="D127" s="131"/>
      <c r="E127" s="125"/>
      <c r="F127" s="132"/>
      <c r="G127" s="133"/>
      <c r="H127" s="137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e">
        <f t="shared" si="8"/>
        <v>#N/A</v>
      </c>
    </row>
    <row r="128" spans="1:14" ht="45" customHeight="1">
      <c r="A128" s="135"/>
      <c r="B128" s="129"/>
      <c r="C128" s="136"/>
      <c r="D128" s="131"/>
      <c r="E128" s="125"/>
      <c r="F128" s="132"/>
      <c r="G128" s="133"/>
      <c r="H128" s="137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e">
        <f t="shared" si="8"/>
        <v>#N/A</v>
      </c>
    </row>
    <row r="129" spans="1:14" ht="45" customHeight="1">
      <c r="A129" s="135"/>
      <c r="B129" s="129"/>
      <c r="C129" s="136"/>
      <c r="D129" s="131"/>
      <c r="E129" s="125"/>
      <c r="F129" s="132"/>
      <c r="G129" s="133"/>
      <c r="H129" s="137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e">
        <f t="shared" si="8"/>
        <v>#N/A</v>
      </c>
    </row>
    <row r="130" spans="1:14" ht="45" customHeight="1">
      <c r="A130" s="135"/>
      <c r="B130" s="129"/>
      <c r="C130" s="136"/>
      <c r="D130" s="131"/>
      <c r="E130" s="125"/>
      <c r="F130" s="132"/>
      <c r="G130" s="133"/>
      <c r="H130" s="137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e">
        <f t="shared" si="8"/>
        <v>#N/A</v>
      </c>
    </row>
    <row r="131" spans="1:14" ht="45" customHeight="1">
      <c r="A131" s="135"/>
      <c r="B131" s="129"/>
      <c r="C131" s="136"/>
      <c r="D131" s="131"/>
      <c r="E131" s="125"/>
      <c r="F131" s="132"/>
      <c r="G131" s="133"/>
      <c r="H131" s="137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e">
        <f t="shared" si="8"/>
        <v>#N/A</v>
      </c>
    </row>
    <row r="132" spans="1:14" ht="45" customHeight="1">
      <c r="A132" s="135"/>
      <c r="B132" s="129"/>
      <c r="C132" s="136"/>
      <c r="D132" s="131"/>
      <c r="E132" s="125"/>
      <c r="F132" s="132"/>
      <c r="G132" s="133"/>
      <c r="H132" s="137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e">
        <f t="shared" ref="N132:N195" si="13">AND($M$1="Flat Rate",M132="Staff_Costs")</f>
        <v>#N/A</v>
      </c>
    </row>
    <row r="133" spans="1:14" ht="45" customHeight="1">
      <c r="A133" s="135"/>
      <c r="B133" s="129"/>
      <c r="C133" s="136"/>
      <c r="D133" s="131"/>
      <c r="E133" s="125"/>
      <c r="F133" s="132"/>
      <c r="G133" s="133"/>
      <c r="H133" s="137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e">
        <f t="shared" si="13"/>
        <v>#N/A</v>
      </c>
    </row>
    <row r="134" spans="1:14" ht="45" customHeight="1">
      <c r="A134" s="135"/>
      <c r="B134" s="129"/>
      <c r="C134" s="136"/>
      <c r="D134" s="131"/>
      <c r="E134" s="125"/>
      <c r="F134" s="132"/>
      <c r="G134" s="133"/>
      <c r="H134" s="137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e">
        <f t="shared" si="13"/>
        <v>#N/A</v>
      </c>
    </row>
    <row r="135" spans="1:14" ht="45" customHeight="1">
      <c r="A135" s="135"/>
      <c r="B135" s="129"/>
      <c r="C135" s="136"/>
      <c r="D135" s="131"/>
      <c r="E135" s="125"/>
      <c r="F135" s="132"/>
      <c r="G135" s="133"/>
      <c r="H135" s="137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e">
        <f t="shared" si="13"/>
        <v>#N/A</v>
      </c>
    </row>
    <row r="136" spans="1:14" ht="45" customHeight="1">
      <c r="A136" s="135"/>
      <c r="B136" s="129"/>
      <c r="C136" s="136"/>
      <c r="D136" s="131"/>
      <c r="E136" s="125"/>
      <c r="F136" s="132"/>
      <c r="G136" s="133"/>
      <c r="H136" s="137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e">
        <f t="shared" si="13"/>
        <v>#N/A</v>
      </c>
    </row>
    <row r="137" spans="1:14" ht="45" customHeight="1">
      <c r="A137" s="135"/>
      <c r="B137" s="129"/>
      <c r="C137" s="136"/>
      <c r="D137" s="131"/>
      <c r="E137" s="125"/>
      <c r="F137" s="132"/>
      <c r="G137" s="133"/>
      <c r="H137" s="137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e">
        <f t="shared" si="13"/>
        <v>#N/A</v>
      </c>
    </row>
    <row r="138" spans="1:14" ht="45" customHeight="1">
      <c r="A138" s="135"/>
      <c r="B138" s="129"/>
      <c r="C138" s="136"/>
      <c r="D138" s="131"/>
      <c r="E138" s="125"/>
      <c r="F138" s="132"/>
      <c r="G138" s="133"/>
      <c r="H138" s="137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e">
        <f t="shared" si="13"/>
        <v>#N/A</v>
      </c>
    </row>
    <row r="139" spans="1:14" ht="45" customHeight="1">
      <c r="A139" s="135"/>
      <c r="B139" s="129"/>
      <c r="C139" s="136"/>
      <c r="D139" s="131"/>
      <c r="E139" s="125"/>
      <c r="F139" s="132"/>
      <c r="G139" s="133"/>
      <c r="H139" s="137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e">
        <f t="shared" si="13"/>
        <v>#N/A</v>
      </c>
    </row>
    <row r="140" spans="1:14" ht="45" customHeight="1">
      <c r="A140" s="135"/>
      <c r="B140" s="129"/>
      <c r="C140" s="136"/>
      <c r="D140" s="131"/>
      <c r="E140" s="125"/>
      <c r="F140" s="132"/>
      <c r="G140" s="133"/>
      <c r="H140" s="137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e">
        <f t="shared" si="13"/>
        <v>#N/A</v>
      </c>
    </row>
    <row r="141" spans="1:14" ht="45" customHeight="1">
      <c r="A141" s="135"/>
      <c r="B141" s="129"/>
      <c r="C141" s="136"/>
      <c r="D141" s="131"/>
      <c r="E141" s="125"/>
      <c r="F141" s="132"/>
      <c r="G141" s="133"/>
      <c r="H141" s="137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e">
        <f t="shared" si="13"/>
        <v>#N/A</v>
      </c>
    </row>
    <row r="142" spans="1:14" ht="45" customHeight="1">
      <c r="A142" s="135"/>
      <c r="B142" s="129"/>
      <c r="C142" s="136"/>
      <c r="D142" s="131"/>
      <c r="E142" s="125"/>
      <c r="F142" s="132"/>
      <c r="G142" s="133"/>
      <c r="H142" s="137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e">
        <f t="shared" si="13"/>
        <v>#N/A</v>
      </c>
    </row>
    <row r="143" spans="1:14" ht="45" customHeight="1">
      <c r="A143" s="135"/>
      <c r="B143" s="129"/>
      <c r="C143" s="136"/>
      <c r="D143" s="131"/>
      <c r="E143" s="125"/>
      <c r="F143" s="132"/>
      <c r="G143" s="133"/>
      <c r="H143" s="137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e">
        <f t="shared" si="13"/>
        <v>#N/A</v>
      </c>
    </row>
    <row r="144" spans="1:14" ht="45" customHeight="1">
      <c r="A144" s="135"/>
      <c r="B144" s="129"/>
      <c r="C144" s="136"/>
      <c r="D144" s="131"/>
      <c r="E144" s="125"/>
      <c r="F144" s="132"/>
      <c r="G144" s="133"/>
      <c r="H144" s="137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e">
        <f t="shared" si="13"/>
        <v>#N/A</v>
      </c>
    </row>
    <row r="145" spans="1:14" ht="45" customHeight="1">
      <c r="A145" s="135"/>
      <c r="B145" s="129"/>
      <c r="C145" s="136"/>
      <c r="D145" s="131"/>
      <c r="E145" s="125"/>
      <c r="F145" s="132"/>
      <c r="G145" s="133"/>
      <c r="H145" s="137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e">
        <f t="shared" si="13"/>
        <v>#N/A</v>
      </c>
    </row>
    <row r="146" spans="1:14" ht="45" customHeight="1">
      <c r="A146" s="135"/>
      <c r="B146" s="129"/>
      <c r="C146" s="136"/>
      <c r="D146" s="131"/>
      <c r="E146" s="125"/>
      <c r="F146" s="132"/>
      <c r="G146" s="133"/>
      <c r="H146" s="137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e">
        <f t="shared" si="13"/>
        <v>#N/A</v>
      </c>
    </row>
    <row r="147" spans="1:14" ht="45" customHeight="1">
      <c r="A147" s="135"/>
      <c r="B147" s="129"/>
      <c r="C147" s="136"/>
      <c r="D147" s="131"/>
      <c r="E147" s="125"/>
      <c r="F147" s="132"/>
      <c r="G147" s="133"/>
      <c r="H147" s="137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e">
        <f t="shared" si="13"/>
        <v>#N/A</v>
      </c>
    </row>
    <row r="148" spans="1:14" ht="45" customHeight="1">
      <c r="A148" s="135"/>
      <c r="B148" s="129"/>
      <c r="C148" s="136"/>
      <c r="D148" s="131"/>
      <c r="E148" s="125"/>
      <c r="F148" s="132"/>
      <c r="G148" s="133"/>
      <c r="H148" s="137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e">
        <f t="shared" si="13"/>
        <v>#N/A</v>
      </c>
    </row>
    <row r="149" spans="1:14" ht="45" customHeight="1">
      <c r="A149" s="135"/>
      <c r="B149" s="129"/>
      <c r="C149" s="136"/>
      <c r="D149" s="131"/>
      <c r="E149" s="125"/>
      <c r="F149" s="132"/>
      <c r="G149" s="133"/>
      <c r="H149" s="137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e">
        <f t="shared" si="13"/>
        <v>#N/A</v>
      </c>
    </row>
    <row r="150" spans="1:14" ht="45" customHeight="1">
      <c r="A150" s="135"/>
      <c r="B150" s="129"/>
      <c r="C150" s="136"/>
      <c r="D150" s="131"/>
      <c r="E150" s="125"/>
      <c r="F150" s="132"/>
      <c r="G150" s="133"/>
      <c r="H150" s="137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e">
        <f t="shared" si="13"/>
        <v>#N/A</v>
      </c>
    </row>
    <row r="151" spans="1:14" ht="45" customHeight="1">
      <c r="A151" s="135"/>
      <c r="B151" s="129"/>
      <c r="C151" s="136"/>
      <c r="D151" s="131"/>
      <c r="E151" s="125"/>
      <c r="F151" s="132"/>
      <c r="G151" s="133"/>
      <c r="H151" s="137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e">
        <f t="shared" si="13"/>
        <v>#N/A</v>
      </c>
    </row>
    <row r="152" spans="1:14" ht="45" customHeight="1">
      <c r="A152" s="135"/>
      <c r="B152" s="129"/>
      <c r="C152" s="136"/>
      <c r="D152" s="131"/>
      <c r="E152" s="125"/>
      <c r="F152" s="132"/>
      <c r="G152" s="133"/>
      <c r="H152" s="137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e">
        <f t="shared" si="13"/>
        <v>#N/A</v>
      </c>
    </row>
    <row r="153" spans="1:14" ht="45" customHeight="1">
      <c r="A153" s="135"/>
      <c r="B153" s="129"/>
      <c r="C153" s="136"/>
      <c r="D153" s="131"/>
      <c r="E153" s="125"/>
      <c r="F153" s="132"/>
      <c r="G153" s="133"/>
      <c r="H153" s="137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e">
        <f t="shared" si="13"/>
        <v>#N/A</v>
      </c>
    </row>
    <row r="154" spans="1:14" ht="45" customHeight="1">
      <c r="A154" s="135"/>
      <c r="B154" s="129"/>
      <c r="C154" s="136"/>
      <c r="D154" s="131"/>
      <c r="E154" s="125"/>
      <c r="F154" s="132"/>
      <c r="G154" s="133"/>
      <c r="H154" s="137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e">
        <f t="shared" si="13"/>
        <v>#N/A</v>
      </c>
    </row>
    <row r="155" spans="1:14" ht="45" customHeight="1">
      <c r="A155" s="135"/>
      <c r="B155" s="129"/>
      <c r="C155" s="136"/>
      <c r="D155" s="131"/>
      <c r="E155" s="125"/>
      <c r="F155" s="132"/>
      <c r="G155" s="133"/>
      <c r="H155" s="137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e">
        <f t="shared" si="13"/>
        <v>#N/A</v>
      </c>
    </row>
    <row r="156" spans="1:14" ht="45" customHeight="1">
      <c r="A156" s="135"/>
      <c r="B156" s="129"/>
      <c r="C156" s="136"/>
      <c r="D156" s="131"/>
      <c r="E156" s="125"/>
      <c r="F156" s="132"/>
      <c r="G156" s="133"/>
      <c r="H156" s="137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e">
        <f t="shared" si="13"/>
        <v>#N/A</v>
      </c>
    </row>
    <row r="157" spans="1:14" ht="45" customHeight="1">
      <c r="A157" s="135"/>
      <c r="B157" s="129"/>
      <c r="C157" s="136"/>
      <c r="D157" s="131"/>
      <c r="E157" s="125"/>
      <c r="F157" s="132"/>
      <c r="G157" s="133"/>
      <c r="H157" s="137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e">
        <f t="shared" si="13"/>
        <v>#N/A</v>
      </c>
    </row>
    <row r="158" spans="1:14" ht="45" customHeight="1">
      <c r="A158" s="135"/>
      <c r="B158" s="129"/>
      <c r="C158" s="136"/>
      <c r="D158" s="131"/>
      <c r="E158" s="125"/>
      <c r="F158" s="132"/>
      <c r="G158" s="133"/>
      <c r="H158" s="137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e">
        <f t="shared" si="13"/>
        <v>#N/A</v>
      </c>
    </row>
    <row r="159" spans="1:14" ht="45" customHeight="1">
      <c r="A159" s="135"/>
      <c r="B159" s="129"/>
      <c r="C159" s="136"/>
      <c r="D159" s="131"/>
      <c r="E159" s="125"/>
      <c r="F159" s="132"/>
      <c r="G159" s="133"/>
      <c r="H159" s="137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e">
        <f t="shared" si="13"/>
        <v>#N/A</v>
      </c>
    </row>
    <row r="160" spans="1:14" ht="45" customHeight="1">
      <c r="A160" s="135"/>
      <c r="B160" s="129"/>
      <c r="C160" s="136"/>
      <c r="D160" s="131"/>
      <c r="E160" s="125"/>
      <c r="F160" s="132"/>
      <c r="G160" s="133"/>
      <c r="H160" s="137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e">
        <f t="shared" si="13"/>
        <v>#N/A</v>
      </c>
    </row>
    <row r="161" spans="1:14" ht="45" customHeight="1">
      <c r="A161" s="135"/>
      <c r="B161" s="129"/>
      <c r="C161" s="136"/>
      <c r="D161" s="131"/>
      <c r="E161" s="125"/>
      <c r="F161" s="132"/>
      <c r="G161" s="133"/>
      <c r="H161" s="137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e">
        <f t="shared" si="13"/>
        <v>#N/A</v>
      </c>
    </row>
    <row r="162" spans="1:14" ht="45" customHeight="1">
      <c r="A162" s="135"/>
      <c r="B162" s="129"/>
      <c r="C162" s="136"/>
      <c r="D162" s="131"/>
      <c r="E162" s="125"/>
      <c r="F162" s="132"/>
      <c r="G162" s="133"/>
      <c r="H162" s="137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e">
        <f t="shared" si="13"/>
        <v>#N/A</v>
      </c>
    </row>
    <row r="163" spans="1:14" ht="45" customHeight="1">
      <c r="A163" s="135"/>
      <c r="B163" s="129"/>
      <c r="C163" s="136"/>
      <c r="D163" s="131"/>
      <c r="E163" s="125"/>
      <c r="F163" s="132"/>
      <c r="G163" s="133"/>
      <c r="H163" s="137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e">
        <f t="shared" si="13"/>
        <v>#N/A</v>
      </c>
    </row>
    <row r="164" spans="1:14" ht="45" customHeight="1">
      <c r="A164" s="135"/>
      <c r="B164" s="129"/>
      <c r="C164" s="136"/>
      <c r="D164" s="131"/>
      <c r="E164" s="125"/>
      <c r="F164" s="132"/>
      <c r="G164" s="133"/>
      <c r="H164" s="137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e">
        <f t="shared" si="13"/>
        <v>#N/A</v>
      </c>
    </row>
    <row r="165" spans="1:14" ht="45" customHeight="1">
      <c r="A165" s="135"/>
      <c r="B165" s="129"/>
      <c r="C165" s="136"/>
      <c r="D165" s="131"/>
      <c r="E165" s="125"/>
      <c r="F165" s="132"/>
      <c r="G165" s="133"/>
      <c r="H165" s="137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e">
        <f t="shared" si="13"/>
        <v>#N/A</v>
      </c>
    </row>
    <row r="166" spans="1:14" ht="45" customHeight="1">
      <c r="A166" s="135"/>
      <c r="B166" s="129"/>
      <c r="C166" s="136"/>
      <c r="D166" s="131"/>
      <c r="E166" s="125"/>
      <c r="F166" s="132"/>
      <c r="G166" s="133"/>
      <c r="H166" s="137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e">
        <f t="shared" si="13"/>
        <v>#N/A</v>
      </c>
    </row>
    <row r="167" spans="1:14" ht="45" customHeight="1">
      <c r="A167" s="135"/>
      <c r="B167" s="129"/>
      <c r="C167" s="136"/>
      <c r="D167" s="131"/>
      <c r="E167" s="125"/>
      <c r="F167" s="132"/>
      <c r="G167" s="133"/>
      <c r="H167" s="137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e">
        <f t="shared" si="13"/>
        <v>#N/A</v>
      </c>
    </row>
    <row r="168" spans="1:14" ht="45" customHeight="1">
      <c r="A168" s="135"/>
      <c r="B168" s="129"/>
      <c r="C168" s="136"/>
      <c r="D168" s="131"/>
      <c r="E168" s="125"/>
      <c r="F168" s="132"/>
      <c r="G168" s="133"/>
      <c r="H168" s="137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e">
        <f t="shared" si="13"/>
        <v>#N/A</v>
      </c>
    </row>
    <row r="169" spans="1:14" ht="45" customHeight="1">
      <c r="A169" s="135"/>
      <c r="B169" s="129"/>
      <c r="C169" s="136"/>
      <c r="D169" s="131"/>
      <c r="E169" s="125"/>
      <c r="F169" s="132"/>
      <c r="G169" s="133"/>
      <c r="H169" s="137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e">
        <f t="shared" si="13"/>
        <v>#N/A</v>
      </c>
    </row>
    <row r="170" spans="1:14" ht="45" customHeight="1">
      <c r="A170" s="135"/>
      <c r="B170" s="129"/>
      <c r="C170" s="136"/>
      <c r="D170" s="131"/>
      <c r="E170" s="125"/>
      <c r="F170" s="132"/>
      <c r="G170" s="133"/>
      <c r="H170" s="137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e">
        <f t="shared" si="13"/>
        <v>#N/A</v>
      </c>
    </row>
    <row r="171" spans="1:14" ht="45" customHeight="1">
      <c r="A171" s="135"/>
      <c r="B171" s="129"/>
      <c r="C171" s="136"/>
      <c r="D171" s="131"/>
      <c r="E171" s="125"/>
      <c r="F171" s="132"/>
      <c r="G171" s="133"/>
      <c r="H171" s="137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e">
        <f t="shared" si="13"/>
        <v>#N/A</v>
      </c>
    </row>
    <row r="172" spans="1:14" ht="45" customHeight="1">
      <c r="A172" s="135"/>
      <c r="B172" s="129"/>
      <c r="C172" s="136"/>
      <c r="D172" s="131"/>
      <c r="E172" s="125"/>
      <c r="F172" s="132"/>
      <c r="G172" s="133"/>
      <c r="H172" s="137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e">
        <f t="shared" si="13"/>
        <v>#N/A</v>
      </c>
    </row>
    <row r="173" spans="1:14" ht="45" customHeight="1">
      <c r="A173" s="135"/>
      <c r="B173" s="129"/>
      <c r="C173" s="136"/>
      <c r="D173" s="131"/>
      <c r="E173" s="125"/>
      <c r="F173" s="132"/>
      <c r="G173" s="133"/>
      <c r="H173" s="137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e">
        <f t="shared" si="13"/>
        <v>#N/A</v>
      </c>
    </row>
    <row r="174" spans="1:14" ht="45" customHeight="1">
      <c r="A174" s="135"/>
      <c r="B174" s="129"/>
      <c r="C174" s="136"/>
      <c r="D174" s="131"/>
      <c r="E174" s="125"/>
      <c r="F174" s="132"/>
      <c r="G174" s="133"/>
      <c r="H174" s="137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e">
        <f t="shared" si="13"/>
        <v>#N/A</v>
      </c>
    </row>
    <row r="175" spans="1:14" ht="45" customHeight="1">
      <c r="A175" s="135"/>
      <c r="B175" s="129"/>
      <c r="C175" s="136"/>
      <c r="D175" s="131"/>
      <c r="E175" s="125"/>
      <c r="F175" s="132"/>
      <c r="G175" s="133"/>
      <c r="H175" s="137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e">
        <f t="shared" si="13"/>
        <v>#N/A</v>
      </c>
    </row>
    <row r="176" spans="1:14" ht="45" customHeight="1">
      <c r="A176" s="135"/>
      <c r="B176" s="129"/>
      <c r="C176" s="136"/>
      <c r="D176" s="131"/>
      <c r="E176" s="125"/>
      <c r="F176" s="132"/>
      <c r="G176" s="133"/>
      <c r="H176" s="137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e">
        <f t="shared" si="13"/>
        <v>#N/A</v>
      </c>
    </row>
    <row r="177" spans="1:14" ht="45" customHeight="1">
      <c r="A177" s="135"/>
      <c r="B177" s="129"/>
      <c r="C177" s="136"/>
      <c r="D177" s="131"/>
      <c r="E177" s="125"/>
      <c r="F177" s="132"/>
      <c r="G177" s="133"/>
      <c r="H177" s="137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e">
        <f t="shared" si="13"/>
        <v>#N/A</v>
      </c>
    </row>
    <row r="178" spans="1:14" ht="45" customHeight="1">
      <c r="A178" s="135"/>
      <c r="B178" s="129"/>
      <c r="C178" s="136"/>
      <c r="D178" s="131"/>
      <c r="E178" s="125"/>
      <c r="F178" s="132"/>
      <c r="G178" s="133"/>
      <c r="H178" s="137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e">
        <f t="shared" si="13"/>
        <v>#N/A</v>
      </c>
    </row>
    <row r="179" spans="1:14" ht="45" customHeight="1">
      <c r="A179" s="135"/>
      <c r="B179" s="129"/>
      <c r="C179" s="136"/>
      <c r="D179" s="131"/>
      <c r="E179" s="125"/>
      <c r="F179" s="132"/>
      <c r="G179" s="133"/>
      <c r="H179" s="137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e">
        <f t="shared" si="13"/>
        <v>#N/A</v>
      </c>
    </row>
    <row r="180" spans="1:14" ht="45" customHeight="1">
      <c r="A180" s="135"/>
      <c r="B180" s="129"/>
      <c r="C180" s="136"/>
      <c r="D180" s="131"/>
      <c r="E180" s="125"/>
      <c r="F180" s="132"/>
      <c r="G180" s="133"/>
      <c r="H180" s="137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e">
        <f t="shared" si="13"/>
        <v>#N/A</v>
      </c>
    </row>
    <row r="181" spans="1:14" ht="45" customHeight="1">
      <c r="A181" s="135"/>
      <c r="B181" s="129"/>
      <c r="C181" s="136"/>
      <c r="D181" s="131"/>
      <c r="E181" s="125"/>
      <c r="F181" s="132"/>
      <c r="G181" s="133"/>
      <c r="H181" s="137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e">
        <f t="shared" si="13"/>
        <v>#N/A</v>
      </c>
    </row>
    <row r="182" spans="1:14" ht="45" customHeight="1">
      <c r="A182" s="135"/>
      <c r="B182" s="129"/>
      <c r="C182" s="136"/>
      <c r="D182" s="131"/>
      <c r="E182" s="125"/>
      <c r="F182" s="132"/>
      <c r="G182" s="133"/>
      <c r="H182" s="137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e">
        <f t="shared" si="13"/>
        <v>#N/A</v>
      </c>
    </row>
    <row r="183" spans="1:14" ht="45" customHeight="1">
      <c r="A183" s="135"/>
      <c r="B183" s="129"/>
      <c r="C183" s="136"/>
      <c r="D183" s="131"/>
      <c r="E183" s="125"/>
      <c r="F183" s="132"/>
      <c r="G183" s="133"/>
      <c r="H183" s="137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e">
        <f t="shared" si="13"/>
        <v>#N/A</v>
      </c>
    </row>
    <row r="184" spans="1:14" ht="45" customHeight="1">
      <c r="A184" s="135"/>
      <c r="B184" s="129"/>
      <c r="C184" s="136"/>
      <c r="D184" s="131"/>
      <c r="E184" s="125"/>
      <c r="F184" s="132"/>
      <c r="G184" s="133"/>
      <c r="H184" s="137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e">
        <f t="shared" si="13"/>
        <v>#N/A</v>
      </c>
    </row>
    <row r="185" spans="1:14" ht="45" customHeight="1">
      <c r="A185" s="135"/>
      <c r="B185" s="129"/>
      <c r="C185" s="136"/>
      <c r="D185" s="131"/>
      <c r="E185" s="125"/>
      <c r="F185" s="132"/>
      <c r="G185" s="133"/>
      <c r="H185" s="137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e">
        <f t="shared" si="13"/>
        <v>#N/A</v>
      </c>
    </row>
    <row r="186" spans="1:14" ht="45" customHeight="1">
      <c r="A186" s="135"/>
      <c r="B186" s="129"/>
      <c r="C186" s="136"/>
      <c r="D186" s="131"/>
      <c r="E186" s="125"/>
      <c r="F186" s="132"/>
      <c r="G186" s="133"/>
      <c r="H186" s="137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e">
        <f t="shared" si="13"/>
        <v>#N/A</v>
      </c>
    </row>
    <row r="187" spans="1:14" ht="45" customHeight="1">
      <c r="A187" s="135"/>
      <c r="B187" s="129"/>
      <c r="C187" s="136"/>
      <c r="D187" s="131"/>
      <c r="E187" s="125"/>
      <c r="F187" s="132"/>
      <c r="G187" s="133"/>
      <c r="H187" s="137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e">
        <f t="shared" si="13"/>
        <v>#N/A</v>
      </c>
    </row>
    <row r="188" spans="1:14" ht="45" customHeight="1">
      <c r="A188" s="135"/>
      <c r="B188" s="129"/>
      <c r="C188" s="136"/>
      <c r="D188" s="131"/>
      <c r="E188" s="125"/>
      <c r="F188" s="132"/>
      <c r="G188" s="133"/>
      <c r="H188" s="137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e">
        <f t="shared" si="13"/>
        <v>#N/A</v>
      </c>
    </row>
    <row r="189" spans="1:14" ht="45" customHeight="1">
      <c r="A189" s="135"/>
      <c r="B189" s="129"/>
      <c r="C189" s="136"/>
      <c r="D189" s="131"/>
      <c r="E189" s="125"/>
      <c r="F189" s="132"/>
      <c r="G189" s="133"/>
      <c r="H189" s="137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e">
        <f t="shared" si="13"/>
        <v>#N/A</v>
      </c>
    </row>
    <row r="190" spans="1:14" ht="45" customHeight="1">
      <c r="A190" s="135"/>
      <c r="B190" s="129"/>
      <c r="C190" s="136"/>
      <c r="D190" s="131"/>
      <c r="E190" s="125"/>
      <c r="F190" s="132"/>
      <c r="G190" s="133"/>
      <c r="H190" s="137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e">
        <f t="shared" si="13"/>
        <v>#N/A</v>
      </c>
    </row>
    <row r="191" spans="1:14" ht="45" customHeight="1">
      <c r="A191" s="135"/>
      <c r="B191" s="129"/>
      <c r="C191" s="136"/>
      <c r="D191" s="131"/>
      <c r="E191" s="125"/>
      <c r="F191" s="132"/>
      <c r="G191" s="133"/>
      <c r="H191" s="137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e">
        <f t="shared" si="13"/>
        <v>#N/A</v>
      </c>
    </row>
    <row r="192" spans="1:14" ht="45" customHeight="1">
      <c r="A192" s="135"/>
      <c r="B192" s="129"/>
      <c r="C192" s="136"/>
      <c r="D192" s="131"/>
      <c r="E192" s="125"/>
      <c r="F192" s="132"/>
      <c r="G192" s="133"/>
      <c r="H192" s="137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e">
        <f t="shared" si="13"/>
        <v>#N/A</v>
      </c>
    </row>
    <row r="193" spans="1:16" ht="45" customHeight="1">
      <c r="A193" s="135"/>
      <c r="B193" s="129"/>
      <c r="C193" s="136"/>
      <c r="D193" s="131"/>
      <c r="E193" s="125"/>
      <c r="F193" s="132"/>
      <c r="G193" s="133"/>
      <c r="H193" s="137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e">
        <f t="shared" si="13"/>
        <v>#N/A</v>
      </c>
    </row>
    <row r="194" spans="1:16" ht="45" customHeight="1">
      <c r="A194" s="135"/>
      <c r="B194" s="129"/>
      <c r="C194" s="136"/>
      <c r="D194" s="131"/>
      <c r="E194" s="125"/>
      <c r="F194" s="132"/>
      <c r="G194" s="133"/>
      <c r="H194" s="137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e">
        <f t="shared" si="13"/>
        <v>#N/A</v>
      </c>
    </row>
    <row r="195" spans="1:16" ht="45" customHeight="1">
      <c r="A195" s="135"/>
      <c r="B195" s="129"/>
      <c r="C195" s="136"/>
      <c r="D195" s="131"/>
      <c r="E195" s="125"/>
      <c r="F195" s="132"/>
      <c r="G195" s="133"/>
      <c r="H195" s="137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e">
        <f t="shared" si="13"/>
        <v>#N/A</v>
      </c>
    </row>
    <row r="196" spans="1:16" ht="45" customHeight="1">
      <c r="A196" s="135"/>
      <c r="B196" s="129"/>
      <c r="C196" s="136"/>
      <c r="D196" s="131"/>
      <c r="E196" s="125"/>
      <c r="F196" s="132"/>
      <c r="G196" s="133"/>
      <c r="H196" s="137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e">
        <f t="shared" ref="N196:N201" si="18">AND($M$1="Flat Rate",M196="Staff_Costs")</f>
        <v>#N/A</v>
      </c>
    </row>
    <row r="197" spans="1:16" ht="45" customHeight="1">
      <c r="A197" s="135"/>
      <c r="B197" s="129"/>
      <c r="C197" s="136"/>
      <c r="D197" s="131"/>
      <c r="E197" s="125"/>
      <c r="F197" s="132"/>
      <c r="G197" s="133"/>
      <c r="H197" s="137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e">
        <f t="shared" si="18"/>
        <v>#N/A</v>
      </c>
    </row>
    <row r="198" spans="1:16" ht="47.25" customHeight="1">
      <c r="A198" s="135"/>
      <c r="B198" s="129"/>
      <c r="C198" s="136"/>
      <c r="D198" s="131"/>
      <c r="E198" s="125"/>
      <c r="F198" s="132"/>
      <c r="G198" s="133"/>
      <c r="H198" s="137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e">
        <f t="shared" si="18"/>
        <v>#N/A</v>
      </c>
    </row>
    <row r="199" spans="1:16" ht="47.25" customHeight="1">
      <c r="A199" s="135"/>
      <c r="B199" s="129"/>
      <c r="C199" s="136"/>
      <c r="D199" s="131"/>
      <c r="E199" s="125"/>
      <c r="F199" s="132"/>
      <c r="G199" s="133"/>
      <c r="H199" s="137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e">
        <f t="shared" si="18"/>
        <v>#N/A</v>
      </c>
    </row>
    <row r="200" spans="1:16" ht="47.25" customHeight="1">
      <c r="A200" s="135"/>
      <c r="B200" s="129"/>
      <c r="C200" s="136"/>
      <c r="D200" s="131"/>
      <c r="E200" s="125"/>
      <c r="F200" s="132"/>
      <c r="G200" s="133"/>
      <c r="H200" s="137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e">
        <f t="shared" si="18"/>
        <v>#N/A</v>
      </c>
    </row>
    <row r="201" spans="1:16" ht="47.25" customHeight="1">
      <c r="A201" s="135"/>
      <c r="B201" s="129"/>
      <c r="C201" s="136"/>
      <c r="D201" s="131"/>
      <c r="E201" s="125"/>
      <c r="F201" s="132"/>
      <c r="G201" s="133"/>
      <c r="H201" s="137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e">
        <f t="shared" si="18"/>
        <v>#N/A</v>
      </c>
    </row>
    <row r="202" spans="1:16" ht="18.75">
      <c r="L202" t="s">
        <v>524</v>
      </c>
      <c r="M202" s="66" t="str">
        <f>IF(I1=0,"-",IF(M203=0,"No Staff Costs",IF(P204=TRUE,"ERROR",IF(N204=TRUE,"Flat Rate", IF(N204=FALSE,"Real Costs", )))))</f>
        <v>-</v>
      </c>
      <c r="N202" t="s">
        <v>521</v>
      </c>
      <c r="O202" t="s">
        <v>522</v>
      </c>
      <c r="P202" t="s">
        <v>523</v>
      </c>
    </row>
    <row r="203" spans="1:16">
      <c r="L203" t="s">
        <v>526</v>
      </c>
      <c r="M203">
        <f>COUNTIF(L3:L201,"Staff*")</f>
        <v>0</v>
      </c>
    </row>
    <row r="204" spans="1:16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>
      <c r="L205" t="s">
        <v>518</v>
      </c>
      <c r="M205">
        <f>COUNTIF(L3:L201,"Staff Costs-Real*")</f>
        <v>0</v>
      </c>
    </row>
    <row r="206" spans="1:16" ht="18.75">
      <c r="L206" t="s">
        <v>525</v>
      </c>
      <c r="M206" s="66" t="str">
        <f>IF(I1=0,"-",IF(M207=0,"No O&amp;A Costs",IF(P208=TRUE,"ERROR",IF(N208=TRUE,"Flat Rate", IF(N208=FALSE,"Real Costs", )))))</f>
        <v>-</v>
      </c>
    </row>
    <row r="207" spans="1:16">
      <c r="L207" t="s">
        <v>527</v>
      </c>
      <c r="M207">
        <f>COUNTIF(L3:L201,"Office*")</f>
        <v>0</v>
      </c>
    </row>
    <row r="208" spans="1:16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>
      <c r="L209" t="s">
        <v>520</v>
      </c>
      <c r="M209">
        <f>COUNTIF(L3:L201,"Office and Administration-Real*")</f>
        <v>0</v>
      </c>
    </row>
  </sheetData>
  <sheetProtection password="C613" sheet="1" objects="1" scenarios="1" autoFilter="0"/>
  <autoFilter ref="A2:I209"/>
  <dataConsolidate/>
  <mergeCells count="1">
    <mergeCell ref="G1:H1"/>
  </mergeCells>
  <conditionalFormatting sqref="I3:I201">
    <cfRule type="expression" dxfId="91" priority="19" stopIfTrue="1">
      <formula>AND(C3="",NOT(H3=""))</formula>
    </cfRule>
  </conditionalFormatting>
  <conditionalFormatting sqref="E1:F1">
    <cfRule type="cellIs" dxfId="90" priority="17" stopIfTrue="1" operator="equal">
      <formula>0</formula>
    </cfRule>
  </conditionalFormatting>
  <conditionalFormatting sqref="I3:I201">
    <cfRule type="expression" dxfId="89" priority="15" stopIfTrue="1">
      <formula>AND(B3="",NOT(H3=""))</formula>
    </cfRule>
  </conditionalFormatting>
  <conditionalFormatting sqref="F3">
    <cfRule type="expression" dxfId="88" priority="14" stopIfTrue="1">
      <formula>D3="Flat Rate"</formula>
    </cfRule>
  </conditionalFormatting>
  <conditionalFormatting sqref="F4:F201">
    <cfRule type="expression" dxfId="87" priority="13" stopIfTrue="1">
      <formula>D4="Flat Rate"</formula>
    </cfRule>
  </conditionalFormatting>
  <conditionalFormatting sqref="G3:G201">
    <cfRule type="expression" dxfId="86" priority="2" stopIfTrue="1">
      <formula>D3="Flat Rate"</formula>
    </cfRule>
    <cfRule type="expression" dxfId="85" priority="3" stopIfTrue="1">
      <formula>C3="Staff Costs"</formula>
    </cfRule>
    <cfRule type="expression" dxfId="84" priority="4" stopIfTrue="1">
      <formula>C3="Travel and Accommodation"</formula>
    </cfRule>
  </conditionalFormatting>
  <dataValidations count="5"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sqref="C3:C201">
      <formula1>Budgetline</formula1>
    </dataValidation>
    <dataValidation type="list" allowBlank="1" showInputMessage="1" showErrorMessage="1" sqref="A3:A201">
      <formula1>WPs</formula1>
    </dataValidation>
    <dataValidation type="list" allowBlank="1" showInputMessage="1" showErrorMessage="1" sqref="B3:B201">
      <formula1>IF(A3="WP1", P2WP1, IF(A3="WP2",P2WP2,IF(A3="WP3",P2WP3,IF(A3="WP4",P2WP4,IF(A3="WP5",P2WP5,IF(A3="WP6",P2WP6,0))))))</formula1>
    </dataValidation>
    <dataValidation type="list" allowBlank="1" showInputMessage="1" showErrorMessage="1" errorTitle="Change Budget line orType" sqref="D3:D201">
      <formula1>IF(N3=TRUE,Flat,INDIRECT(M3))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4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P209"/>
  <sheetViews>
    <sheetView zoomScale="55" zoomScaleNormal="55" zoomScaleSheetLayoutView="70" workbookViewId="0">
      <selection activeCell="G62" sqref="G62"/>
    </sheetView>
  </sheetViews>
  <sheetFormatPr defaultRowHeight="1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0" width="11.5703125" hidden="1" customWidth="1"/>
    <col min="11" max="12" width="0" hidden="1" customWidth="1"/>
    <col min="13" max="13" width="15.140625" hidden="1" customWidth="1"/>
    <col min="14" max="16" width="0" hidden="1" customWidth="1"/>
  </cols>
  <sheetData>
    <row r="1" spans="1:14" ht="15.75">
      <c r="A1" s="36"/>
      <c r="B1" s="36"/>
      <c r="C1" s="36"/>
      <c r="D1" s="55" t="s">
        <v>15</v>
      </c>
      <c r="E1" s="56">
        <f>'Cover page'!C24</f>
        <v>0</v>
      </c>
      <c r="F1" s="56">
        <f>'Cover page'!G24</f>
        <v>0</v>
      </c>
      <c r="G1" s="195" t="s">
        <v>412</v>
      </c>
      <c r="H1" s="196"/>
      <c r="I1" s="52">
        <f>SUMIF(B3:B201,"D*",I3:I201)</f>
        <v>0</v>
      </c>
      <c r="M1">
        <f>'Cover page'!G33</f>
        <v>0</v>
      </c>
    </row>
    <row r="2" spans="1:14" ht="32.25" customHeight="1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L2" s="65" t="s">
        <v>516</v>
      </c>
      <c r="M2" s="65" t="s">
        <v>578</v>
      </c>
      <c r="N2" s="65" t="s">
        <v>580</v>
      </c>
    </row>
    <row r="3" spans="1:14" ht="45" customHeight="1">
      <c r="A3" s="129"/>
      <c r="B3" s="129"/>
      <c r="C3" s="130"/>
      <c r="D3" s="131"/>
      <c r="E3" s="124"/>
      <c r="F3" s="132"/>
      <c r="G3" s="133"/>
      <c r="H3" s="134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e">
        <f>AND($M$1="Flat Rate",M3="Staff_Costs")</f>
        <v>#N/A</v>
      </c>
    </row>
    <row r="4" spans="1:14" ht="45" customHeight="1">
      <c r="A4" s="135"/>
      <c r="B4" s="129"/>
      <c r="C4" s="136"/>
      <c r="D4" s="131"/>
      <c r="E4" s="124"/>
      <c r="F4" s="132"/>
      <c r="G4" s="133"/>
      <c r="H4" s="137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e">
        <f t="shared" ref="N4:N67" si="3">AND($M$1="Flat Rate",M4="Staff_Costs")</f>
        <v>#N/A</v>
      </c>
    </row>
    <row r="5" spans="1:14" ht="45" customHeight="1">
      <c r="A5" s="135"/>
      <c r="B5" s="129"/>
      <c r="C5" s="136"/>
      <c r="D5" s="131"/>
      <c r="E5" s="124"/>
      <c r="F5" s="132"/>
      <c r="G5" s="133"/>
      <c r="H5" s="137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e">
        <f t="shared" si="3"/>
        <v>#N/A</v>
      </c>
    </row>
    <row r="6" spans="1:14" ht="45" customHeight="1">
      <c r="A6" s="135"/>
      <c r="B6" s="129"/>
      <c r="C6" s="136"/>
      <c r="D6" s="131"/>
      <c r="E6" s="124"/>
      <c r="F6" s="132"/>
      <c r="G6" s="133"/>
      <c r="H6" s="137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e">
        <f t="shared" si="3"/>
        <v>#N/A</v>
      </c>
    </row>
    <row r="7" spans="1:14" ht="45" customHeight="1">
      <c r="A7" s="135"/>
      <c r="B7" s="129"/>
      <c r="C7" s="136"/>
      <c r="D7" s="131"/>
      <c r="E7" s="124"/>
      <c r="F7" s="132"/>
      <c r="G7" s="133"/>
      <c r="H7" s="137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e">
        <f t="shared" si="3"/>
        <v>#N/A</v>
      </c>
    </row>
    <row r="8" spans="1:14" ht="45" customHeight="1">
      <c r="A8" s="135"/>
      <c r="B8" s="129"/>
      <c r="C8" s="136"/>
      <c r="D8" s="131"/>
      <c r="E8" s="124"/>
      <c r="F8" s="132"/>
      <c r="G8" s="133"/>
      <c r="H8" s="137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e">
        <f t="shared" si="3"/>
        <v>#N/A</v>
      </c>
    </row>
    <row r="9" spans="1:14" ht="45" customHeight="1">
      <c r="A9" s="135"/>
      <c r="B9" s="129"/>
      <c r="C9" s="136"/>
      <c r="D9" s="131"/>
      <c r="E9" s="124"/>
      <c r="F9" s="132"/>
      <c r="G9" s="133"/>
      <c r="H9" s="137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e">
        <f t="shared" si="3"/>
        <v>#N/A</v>
      </c>
    </row>
    <row r="10" spans="1:14" ht="45" customHeight="1">
      <c r="A10" s="135"/>
      <c r="B10" s="129"/>
      <c r="C10" s="136"/>
      <c r="D10" s="131"/>
      <c r="E10" s="124"/>
      <c r="F10" s="132"/>
      <c r="G10" s="133"/>
      <c r="H10" s="137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e">
        <f t="shared" si="3"/>
        <v>#N/A</v>
      </c>
    </row>
    <row r="11" spans="1:14" ht="45" customHeight="1">
      <c r="A11" s="135"/>
      <c r="B11" s="129"/>
      <c r="C11" s="136"/>
      <c r="D11" s="131"/>
      <c r="E11" s="124"/>
      <c r="F11" s="132"/>
      <c r="G11" s="133"/>
      <c r="H11" s="137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e">
        <f t="shared" si="3"/>
        <v>#N/A</v>
      </c>
    </row>
    <row r="12" spans="1:14" ht="45" customHeight="1">
      <c r="A12" s="135"/>
      <c r="B12" s="129"/>
      <c r="C12" s="136"/>
      <c r="D12" s="131"/>
      <c r="E12" s="124"/>
      <c r="F12" s="132"/>
      <c r="G12" s="133"/>
      <c r="H12" s="137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e">
        <f t="shared" si="3"/>
        <v>#N/A</v>
      </c>
    </row>
    <row r="13" spans="1:14" ht="45" customHeight="1">
      <c r="A13" s="135"/>
      <c r="B13" s="129"/>
      <c r="C13" s="136"/>
      <c r="D13" s="131"/>
      <c r="E13" s="124"/>
      <c r="F13" s="132"/>
      <c r="G13" s="133"/>
      <c r="H13" s="137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e">
        <f t="shared" si="3"/>
        <v>#N/A</v>
      </c>
    </row>
    <row r="14" spans="1:14" ht="45" customHeight="1">
      <c r="A14" s="135"/>
      <c r="B14" s="129"/>
      <c r="C14" s="136"/>
      <c r="D14" s="131"/>
      <c r="E14" s="124"/>
      <c r="F14" s="132"/>
      <c r="G14" s="133"/>
      <c r="H14" s="137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e">
        <f t="shared" si="3"/>
        <v>#N/A</v>
      </c>
    </row>
    <row r="15" spans="1:14" ht="45" customHeight="1">
      <c r="A15" s="135"/>
      <c r="B15" s="129"/>
      <c r="C15" s="136"/>
      <c r="D15" s="131"/>
      <c r="E15" s="124"/>
      <c r="F15" s="132"/>
      <c r="G15" s="133"/>
      <c r="H15" s="137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e">
        <f t="shared" si="3"/>
        <v>#N/A</v>
      </c>
    </row>
    <row r="16" spans="1:14" ht="45" customHeight="1">
      <c r="A16" s="135"/>
      <c r="B16" s="129"/>
      <c r="C16" s="136"/>
      <c r="D16" s="131"/>
      <c r="E16" s="124"/>
      <c r="F16" s="132"/>
      <c r="G16" s="133"/>
      <c r="H16" s="137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e">
        <f t="shared" si="3"/>
        <v>#N/A</v>
      </c>
    </row>
    <row r="17" spans="1:14" ht="45" customHeight="1">
      <c r="A17" s="135"/>
      <c r="B17" s="129"/>
      <c r="C17" s="136"/>
      <c r="D17" s="131"/>
      <c r="E17" s="124"/>
      <c r="F17" s="132"/>
      <c r="G17" s="133"/>
      <c r="H17" s="137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e">
        <f t="shared" si="3"/>
        <v>#N/A</v>
      </c>
    </row>
    <row r="18" spans="1:14" ht="45" customHeight="1">
      <c r="A18" s="138"/>
      <c r="B18" s="129"/>
      <c r="C18" s="139"/>
      <c r="D18" s="131"/>
      <c r="E18" s="124"/>
      <c r="F18" s="132"/>
      <c r="G18" s="133"/>
      <c r="H18" s="140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e">
        <f t="shared" si="3"/>
        <v>#N/A</v>
      </c>
    </row>
    <row r="19" spans="1:14" ht="45" customHeight="1">
      <c r="A19" s="135"/>
      <c r="B19" s="129"/>
      <c r="C19" s="136"/>
      <c r="D19" s="131"/>
      <c r="E19" s="124"/>
      <c r="F19" s="132"/>
      <c r="G19" s="133"/>
      <c r="H19" s="137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e">
        <f t="shared" si="3"/>
        <v>#N/A</v>
      </c>
    </row>
    <row r="20" spans="1:14" ht="45" customHeight="1">
      <c r="A20" s="135"/>
      <c r="B20" s="129"/>
      <c r="C20" s="136"/>
      <c r="D20" s="131"/>
      <c r="E20" s="124"/>
      <c r="F20" s="132"/>
      <c r="G20" s="133"/>
      <c r="H20" s="137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e">
        <f t="shared" si="3"/>
        <v>#N/A</v>
      </c>
    </row>
    <row r="21" spans="1:14" ht="45" customHeight="1">
      <c r="A21" s="135"/>
      <c r="B21" s="129"/>
      <c r="C21" s="136"/>
      <c r="D21" s="131"/>
      <c r="E21" s="124"/>
      <c r="F21" s="132"/>
      <c r="G21" s="133"/>
      <c r="H21" s="137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e">
        <f t="shared" si="3"/>
        <v>#N/A</v>
      </c>
    </row>
    <row r="22" spans="1:14" ht="45" customHeight="1">
      <c r="A22" s="135"/>
      <c r="B22" s="129"/>
      <c r="C22" s="136"/>
      <c r="D22" s="131"/>
      <c r="E22" s="124"/>
      <c r="F22" s="132"/>
      <c r="G22" s="133"/>
      <c r="H22" s="137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e">
        <f t="shared" si="3"/>
        <v>#N/A</v>
      </c>
    </row>
    <row r="23" spans="1:14" ht="45" customHeight="1">
      <c r="A23" s="135"/>
      <c r="B23" s="129"/>
      <c r="C23" s="136"/>
      <c r="D23" s="131"/>
      <c r="E23" s="124"/>
      <c r="F23" s="132"/>
      <c r="G23" s="133"/>
      <c r="H23" s="137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e">
        <f t="shared" si="3"/>
        <v>#N/A</v>
      </c>
    </row>
    <row r="24" spans="1:14" ht="45" customHeight="1">
      <c r="A24" s="135"/>
      <c r="B24" s="129"/>
      <c r="C24" s="136"/>
      <c r="D24" s="131"/>
      <c r="E24" s="124"/>
      <c r="F24" s="132"/>
      <c r="G24" s="133"/>
      <c r="H24" s="137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e">
        <f t="shared" si="3"/>
        <v>#N/A</v>
      </c>
    </row>
    <row r="25" spans="1:14" ht="45" customHeight="1">
      <c r="A25" s="135"/>
      <c r="B25" s="129"/>
      <c r="C25" s="136"/>
      <c r="D25" s="131"/>
      <c r="E25" s="124"/>
      <c r="F25" s="132"/>
      <c r="G25" s="133"/>
      <c r="H25" s="137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e">
        <f t="shared" si="3"/>
        <v>#N/A</v>
      </c>
    </row>
    <row r="26" spans="1:14" ht="45" customHeight="1">
      <c r="A26" s="135"/>
      <c r="B26" s="129"/>
      <c r="C26" s="136"/>
      <c r="D26" s="131"/>
      <c r="E26" s="124"/>
      <c r="F26" s="132"/>
      <c r="G26" s="133"/>
      <c r="H26" s="137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e">
        <f t="shared" si="3"/>
        <v>#N/A</v>
      </c>
    </row>
    <row r="27" spans="1:14" ht="45" customHeight="1">
      <c r="A27" s="135"/>
      <c r="B27" s="129"/>
      <c r="C27" s="136"/>
      <c r="D27" s="131"/>
      <c r="E27" s="124"/>
      <c r="F27" s="132"/>
      <c r="G27" s="133"/>
      <c r="H27" s="137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e">
        <f t="shared" si="3"/>
        <v>#N/A</v>
      </c>
    </row>
    <row r="28" spans="1:14" ht="45" customHeight="1">
      <c r="A28" s="135"/>
      <c r="B28" s="129"/>
      <c r="C28" s="136"/>
      <c r="D28" s="131"/>
      <c r="E28" s="124"/>
      <c r="F28" s="132"/>
      <c r="G28" s="133"/>
      <c r="H28" s="137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e">
        <f t="shared" si="3"/>
        <v>#N/A</v>
      </c>
    </row>
    <row r="29" spans="1:14" ht="45" customHeight="1">
      <c r="A29" s="135"/>
      <c r="B29" s="129"/>
      <c r="C29" s="136"/>
      <c r="D29" s="131"/>
      <c r="E29" s="124"/>
      <c r="F29" s="132"/>
      <c r="G29" s="133"/>
      <c r="H29" s="137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e">
        <f t="shared" si="3"/>
        <v>#N/A</v>
      </c>
    </row>
    <row r="30" spans="1:14" ht="45" customHeight="1">
      <c r="A30" s="135"/>
      <c r="B30" s="129"/>
      <c r="C30" s="136"/>
      <c r="D30" s="131"/>
      <c r="E30" s="124"/>
      <c r="F30" s="132"/>
      <c r="G30" s="133"/>
      <c r="H30" s="137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e">
        <f t="shared" si="3"/>
        <v>#N/A</v>
      </c>
    </row>
    <row r="31" spans="1:14" ht="45" customHeight="1">
      <c r="A31" s="135"/>
      <c r="B31" s="129"/>
      <c r="C31" s="136"/>
      <c r="D31" s="131"/>
      <c r="E31" s="124"/>
      <c r="F31" s="132"/>
      <c r="G31" s="133"/>
      <c r="H31" s="137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e">
        <f t="shared" si="3"/>
        <v>#N/A</v>
      </c>
    </row>
    <row r="32" spans="1:14" ht="45" customHeight="1">
      <c r="A32" s="135"/>
      <c r="B32" s="129"/>
      <c r="C32" s="136"/>
      <c r="D32" s="131"/>
      <c r="E32" s="124"/>
      <c r="F32" s="132"/>
      <c r="G32" s="133"/>
      <c r="H32" s="137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e">
        <f t="shared" si="3"/>
        <v>#N/A</v>
      </c>
    </row>
    <row r="33" spans="1:14" ht="45" customHeight="1">
      <c r="A33" s="135"/>
      <c r="B33" s="129"/>
      <c r="C33" s="136"/>
      <c r="D33" s="131"/>
      <c r="E33" s="124"/>
      <c r="F33" s="132"/>
      <c r="G33" s="133"/>
      <c r="H33" s="137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e">
        <f t="shared" si="3"/>
        <v>#N/A</v>
      </c>
    </row>
    <row r="34" spans="1:14" ht="45" customHeight="1">
      <c r="A34" s="135"/>
      <c r="B34" s="129"/>
      <c r="C34" s="136"/>
      <c r="D34" s="131"/>
      <c r="E34" s="126"/>
      <c r="F34" s="132"/>
      <c r="G34" s="133"/>
      <c r="H34" s="137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e">
        <f t="shared" si="3"/>
        <v>#N/A</v>
      </c>
    </row>
    <row r="35" spans="1:14" ht="45" customHeight="1">
      <c r="A35" s="135"/>
      <c r="B35" s="129"/>
      <c r="C35" s="136"/>
      <c r="D35" s="131"/>
      <c r="E35" s="126"/>
      <c r="F35" s="132"/>
      <c r="G35" s="133"/>
      <c r="H35" s="137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e">
        <f t="shared" si="3"/>
        <v>#N/A</v>
      </c>
    </row>
    <row r="36" spans="1:14" ht="45" customHeight="1">
      <c r="A36" s="135"/>
      <c r="B36" s="129"/>
      <c r="C36" s="136"/>
      <c r="D36" s="131"/>
      <c r="E36" s="126"/>
      <c r="F36" s="132"/>
      <c r="G36" s="133"/>
      <c r="H36" s="137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e">
        <f t="shared" si="3"/>
        <v>#N/A</v>
      </c>
    </row>
    <row r="37" spans="1:14" ht="45" customHeight="1">
      <c r="A37" s="135"/>
      <c r="B37" s="129"/>
      <c r="C37" s="136"/>
      <c r="D37" s="131"/>
      <c r="E37" s="126"/>
      <c r="F37" s="132"/>
      <c r="G37" s="133"/>
      <c r="H37" s="137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e">
        <f t="shared" si="3"/>
        <v>#N/A</v>
      </c>
    </row>
    <row r="38" spans="1:14" ht="45" customHeight="1">
      <c r="A38" s="135"/>
      <c r="B38" s="129"/>
      <c r="C38" s="136"/>
      <c r="D38" s="131"/>
      <c r="E38" s="126"/>
      <c r="F38" s="132"/>
      <c r="G38" s="133"/>
      <c r="H38" s="137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e">
        <f t="shared" si="3"/>
        <v>#N/A</v>
      </c>
    </row>
    <row r="39" spans="1:14" ht="45" customHeight="1">
      <c r="A39" s="135"/>
      <c r="B39" s="129"/>
      <c r="C39" s="136"/>
      <c r="D39" s="131"/>
      <c r="E39" s="126"/>
      <c r="F39" s="132"/>
      <c r="G39" s="133"/>
      <c r="H39" s="137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e">
        <f t="shared" si="3"/>
        <v>#N/A</v>
      </c>
    </row>
    <row r="40" spans="1:14" ht="45" customHeight="1">
      <c r="A40" s="135"/>
      <c r="B40" s="129"/>
      <c r="C40" s="136"/>
      <c r="D40" s="131"/>
      <c r="E40" s="126"/>
      <c r="F40" s="132"/>
      <c r="G40" s="133"/>
      <c r="H40" s="137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e">
        <f t="shared" si="3"/>
        <v>#N/A</v>
      </c>
    </row>
    <row r="41" spans="1:14" ht="45" customHeight="1">
      <c r="A41" s="135"/>
      <c r="B41" s="129"/>
      <c r="C41" s="136"/>
      <c r="D41" s="131"/>
      <c r="E41" s="126"/>
      <c r="F41" s="132"/>
      <c r="G41" s="133"/>
      <c r="H41" s="137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e">
        <f t="shared" si="3"/>
        <v>#N/A</v>
      </c>
    </row>
    <row r="42" spans="1:14" ht="45" customHeight="1">
      <c r="A42" s="135"/>
      <c r="B42" s="129"/>
      <c r="C42" s="136"/>
      <c r="D42" s="131"/>
      <c r="E42" s="126"/>
      <c r="F42" s="132"/>
      <c r="G42" s="133"/>
      <c r="H42" s="137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e">
        <f t="shared" si="3"/>
        <v>#N/A</v>
      </c>
    </row>
    <row r="43" spans="1:14" ht="45" customHeight="1">
      <c r="A43" s="135"/>
      <c r="B43" s="129"/>
      <c r="C43" s="136"/>
      <c r="D43" s="131"/>
      <c r="E43" s="126"/>
      <c r="F43" s="132"/>
      <c r="G43" s="133"/>
      <c r="H43" s="137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e">
        <f t="shared" si="3"/>
        <v>#N/A</v>
      </c>
    </row>
    <row r="44" spans="1:14" ht="45" customHeight="1">
      <c r="A44" s="135"/>
      <c r="B44" s="129"/>
      <c r="C44" s="136"/>
      <c r="D44" s="131"/>
      <c r="E44" s="126"/>
      <c r="F44" s="132"/>
      <c r="G44" s="133"/>
      <c r="H44" s="137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e">
        <f t="shared" si="3"/>
        <v>#N/A</v>
      </c>
    </row>
    <row r="45" spans="1:14" ht="45" customHeight="1">
      <c r="A45" s="135"/>
      <c r="B45" s="129"/>
      <c r="C45" s="136"/>
      <c r="D45" s="131"/>
      <c r="E45" s="126"/>
      <c r="F45" s="132"/>
      <c r="G45" s="133"/>
      <c r="H45" s="137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e">
        <f t="shared" si="3"/>
        <v>#N/A</v>
      </c>
    </row>
    <row r="46" spans="1:14" ht="45" customHeight="1">
      <c r="A46" s="135"/>
      <c r="B46" s="129"/>
      <c r="C46" s="136"/>
      <c r="D46" s="131"/>
      <c r="E46" s="126"/>
      <c r="F46" s="132"/>
      <c r="G46" s="133"/>
      <c r="H46" s="137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e">
        <f t="shared" si="3"/>
        <v>#N/A</v>
      </c>
    </row>
    <row r="47" spans="1:14" ht="45" customHeight="1">
      <c r="A47" s="135"/>
      <c r="B47" s="129"/>
      <c r="C47" s="136"/>
      <c r="D47" s="131"/>
      <c r="E47" s="126"/>
      <c r="F47" s="132"/>
      <c r="G47" s="133"/>
      <c r="H47" s="137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e">
        <f t="shared" si="3"/>
        <v>#N/A</v>
      </c>
    </row>
    <row r="48" spans="1:14" ht="45" customHeight="1">
      <c r="A48" s="135"/>
      <c r="B48" s="129"/>
      <c r="C48" s="136"/>
      <c r="D48" s="131"/>
      <c r="E48" s="126"/>
      <c r="F48" s="132"/>
      <c r="G48" s="133"/>
      <c r="H48" s="137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e">
        <f t="shared" si="3"/>
        <v>#N/A</v>
      </c>
    </row>
    <row r="49" spans="1:14" ht="45" customHeight="1">
      <c r="A49" s="135"/>
      <c r="B49" s="129"/>
      <c r="C49" s="136"/>
      <c r="D49" s="131"/>
      <c r="E49" s="126"/>
      <c r="F49" s="132"/>
      <c r="G49" s="133"/>
      <c r="H49" s="137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e">
        <f t="shared" si="3"/>
        <v>#N/A</v>
      </c>
    </row>
    <row r="50" spans="1:14" ht="45" customHeight="1">
      <c r="A50" s="135"/>
      <c r="B50" s="129"/>
      <c r="C50" s="136"/>
      <c r="D50" s="131"/>
      <c r="E50" s="126"/>
      <c r="F50" s="132"/>
      <c r="G50" s="133"/>
      <c r="H50" s="137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e">
        <f t="shared" si="3"/>
        <v>#N/A</v>
      </c>
    </row>
    <row r="51" spans="1:14" ht="45" customHeight="1">
      <c r="A51" s="135"/>
      <c r="B51" s="129"/>
      <c r="C51" s="136"/>
      <c r="D51" s="131"/>
      <c r="E51" s="126"/>
      <c r="F51" s="132"/>
      <c r="G51" s="133"/>
      <c r="H51" s="137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e">
        <f t="shared" si="3"/>
        <v>#N/A</v>
      </c>
    </row>
    <row r="52" spans="1:14" ht="45" customHeight="1">
      <c r="A52" s="135"/>
      <c r="B52" s="129"/>
      <c r="C52" s="136"/>
      <c r="D52" s="131"/>
      <c r="E52" s="126"/>
      <c r="F52" s="132"/>
      <c r="G52" s="133"/>
      <c r="H52" s="137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e">
        <f t="shared" si="3"/>
        <v>#N/A</v>
      </c>
    </row>
    <row r="53" spans="1:14" ht="45" customHeight="1">
      <c r="A53" s="135"/>
      <c r="B53" s="129"/>
      <c r="C53" s="136"/>
      <c r="D53" s="131"/>
      <c r="E53" s="126"/>
      <c r="F53" s="132"/>
      <c r="G53" s="133"/>
      <c r="H53" s="137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e">
        <f t="shared" si="3"/>
        <v>#N/A</v>
      </c>
    </row>
    <row r="54" spans="1:14" ht="45" customHeight="1">
      <c r="A54" s="135"/>
      <c r="B54" s="129"/>
      <c r="C54" s="136"/>
      <c r="D54" s="131"/>
      <c r="E54" s="126"/>
      <c r="F54" s="132"/>
      <c r="G54" s="133"/>
      <c r="H54" s="137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e">
        <f t="shared" si="3"/>
        <v>#N/A</v>
      </c>
    </row>
    <row r="55" spans="1:14" ht="45" customHeight="1">
      <c r="A55" s="135"/>
      <c r="B55" s="129"/>
      <c r="C55" s="136"/>
      <c r="D55" s="131"/>
      <c r="E55" s="126"/>
      <c r="F55" s="132"/>
      <c r="G55" s="133"/>
      <c r="H55" s="137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e">
        <f t="shared" si="3"/>
        <v>#N/A</v>
      </c>
    </row>
    <row r="56" spans="1:14" ht="45" customHeight="1">
      <c r="A56" s="135"/>
      <c r="B56" s="129"/>
      <c r="C56" s="136"/>
      <c r="D56" s="131"/>
      <c r="E56" s="126"/>
      <c r="F56" s="132"/>
      <c r="G56" s="133"/>
      <c r="H56" s="137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e">
        <f t="shared" si="3"/>
        <v>#N/A</v>
      </c>
    </row>
    <row r="57" spans="1:14" ht="45" customHeight="1">
      <c r="A57" s="135"/>
      <c r="B57" s="129"/>
      <c r="C57" s="136"/>
      <c r="D57" s="131"/>
      <c r="E57" s="126"/>
      <c r="F57" s="132"/>
      <c r="G57" s="133"/>
      <c r="H57" s="137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e">
        <f t="shared" si="3"/>
        <v>#N/A</v>
      </c>
    </row>
    <row r="58" spans="1:14" ht="45" customHeight="1">
      <c r="A58" s="135"/>
      <c r="B58" s="129"/>
      <c r="C58" s="136"/>
      <c r="D58" s="131"/>
      <c r="E58" s="126"/>
      <c r="F58" s="132"/>
      <c r="G58" s="133"/>
      <c r="H58" s="137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e">
        <f t="shared" si="3"/>
        <v>#N/A</v>
      </c>
    </row>
    <row r="59" spans="1:14" ht="45" customHeight="1">
      <c r="A59" s="135"/>
      <c r="B59" s="129"/>
      <c r="C59" s="136"/>
      <c r="D59" s="131"/>
      <c r="E59" s="126"/>
      <c r="F59" s="132"/>
      <c r="G59" s="133"/>
      <c r="H59" s="137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e">
        <f t="shared" si="3"/>
        <v>#N/A</v>
      </c>
    </row>
    <row r="60" spans="1:14" ht="45" customHeight="1">
      <c r="A60" s="135"/>
      <c r="B60" s="129"/>
      <c r="C60" s="136"/>
      <c r="D60" s="131"/>
      <c r="E60" s="126"/>
      <c r="F60" s="132"/>
      <c r="G60" s="133"/>
      <c r="H60" s="137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e">
        <f t="shared" si="3"/>
        <v>#N/A</v>
      </c>
    </row>
    <row r="61" spans="1:14" ht="45" customHeight="1">
      <c r="A61" s="135"/>
      <c r="B61" s="129"/>
      <c r="C61" s="136"/>
      <c r="D61" s="131"/>
      <c r="E61" s="126"/>
      <c r="F61" s="132"/>
      <c r="G61" s="133"/>
      <c r="H61" s="137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e">
        <f t="shared" si="3"/>
        <v>#N/A</v>
      </c>
    </row>
    <row r="62" spans="1:14" ht="45" customHeight="1">
      <c r="A62" s="135"/>
      <c r="B62" s="129"/>
      <c r="C62" s="136"/>
      <c r="D62" s="131"/>
      <c r="E62" s="126"/>
      <c r="F62" s="132"/>
      <c r="G62" s="133"/>
      <c r="H62" s="137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e">
        <f t="shared" si="3"/>
        <v>#N/A</v>
      </c>
    </row>
    <row r="63" spans="1:14" ht="45" customHeight="1">
      <c r="A63" s="135"/>
      <c r="B63" s="129"/>
      <c r="C63" s="136"/>
      <c r="D63" s="131"/>
      <c r="E63" s="126"/>
      <c r="F63" s="132"/>
      <c r="G63" s="133"/>
      <c r="H63" s="137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e">
        <f t="shared" si="3"/>
        <v>#N/A</v>
      </c>
    </row>
    <row r="64" spans="1:14" ht="45" customHeight="1">
      <c r="A64" s="135"/>
      <c r="B64" s="129"/>
      <c r="C64" s="136"/>
      <c r="D64" s="131"/>
      <c r="E64" s="126"/>
      <c r="F64" s="132"/>
      <c r="G64" s="133"/>
      <c r="H64" s="137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e">
        <f t="shared" si="3"/>
        <v>#N/A</v>
      </c>
    </row>
    <row r="65" spans="1:14" ht="45" customHeight="1">
      <c r="A65" s="135"/>
      <c r="B65" s="129"/>
      <c r="C65" s="136"/>
      <c r="D65" s="131"/>
      <c r="E65" s="126"/>
      <c r="F65" s="132"/>
      <c r="G65" s="133"/>
      <c r="H65" s="137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e">
        <f t="shared" si="3"/>
        <v>#N/A</v>
      </c>
    </row>
    <row r="66" spans="1:14" ht="45" customHeight="1">
      <c r="A66" s="135"/>
      <c r="B66" s="129"/>
      <c r="C66" s="136"/>
      <c r="D66" s="131"/>
      <c r="E66" s="126"/>
      <c r="F66" s="132"/>
      <c r="G66" s="133"/>
      <c r="H66" s="137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e">
        <f t="shared" si="3"/>
        <v>#N/A</v>
      </c>
    </row>
    <row r="67" spans="1:14" ht="45" customHeight="1">
      <c r="A67" s="135"/>
      <c r="B67" s="129"/>
      <c r="C67" s="136"/>
      <c r="D67" s="131"/>
      <c r="E67" s="126"/>
      <c r="F67" s="132"/>
      <c r="G67" s="133"/>
      <c r="H67" s="137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e">
        <f t="shared" si="3"/>
        <v>#N/A</v>
      </c>
    </row>
    <row r="68" spans="1:14" ht="45" customHeight="1">
      <c r="A68" s="135"/>
      <c r="B68" s="129"/>
      <c r="C68" s="136"/>
      <c r="D68" s="131"/>
      <c r="E68" s="126"/>
      <c r="F68" s="132"/>
      <c r="G68" s="133"/>
      <c r="H68" s="137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e">
        <f t="shared" ref="N68:N131" si="8">AND($M$1="Flat Rate",M68="Staff_Costs")</f>
        <v>#N/A</v>
      </c>
    </row>
    <row r="69" spans="1:14" ht="45" customHeight="1">
      <c r="A69" s="135"/>
      <c r="B69" s="129"/>
      <c r="C69" s="136"/>
      <c r="D69" s="131"/>
      <c r="E69" s="126"/>
      <c r="F69" s="132"/>
      <c r="G69" s="133"/>
      <c r="H69" s="137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e">
        <f t="shared" si="8"/>
        <v>#N/A</v>
      </c>
    </row>
    <row r="70" spans="1:14" ht="45" customHeight="1">
      <c r="A70" s="135"/>
      <c r="B70" s="129"/>
      <c r="C70" s="136"/>
      <c r="D70" s="131"/>
      <c r="E70" s="126"/>
      <c r="F70" s="132"/>
      <c r="G70" s="133"/>
      <c r="H70" s="137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e">
        <f t="shared" si="8"/>
        <v>#N/A</v>
      </c>
    </row>
    <row r="71" spans="1:14" ht="45" customHeight="1">
      <c r="A71" s="135"/>
      <c r="B71" s="129"/>
      <c r="C71" s="136"/>
      <c r="D71" s="131"/>
      <c r="E71" s="126"/>
      <c r="F71" s="132"/>
      <c r="G71" s="133"/>
      <c r="H71" s="137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e">
        <f t="shared" si="8"/>
        <v>#N/A</v>
      </c>
    </row>
    <row r="72" spans="1:14" ht="45" customHeight="1">
      <c r="A72" s="135"/>
      <c r="B72" s="129"/>
      <c r="C72" s="136"/>
      <c r="D72" s="131"/>
      <c r="E72" s="126"/>
      <c r="F72" s="132"/>
      <c r="G72" s="133"/>
      <c r="H72" s="137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e">
        <f t="shared" si="8"/>
        <v>#N/A</v>
      </c>
    </row>
    <row r="73" spans="1:14" ht="45" customHeight="1">
      <c r="A73" s="135"/>
      <c r="B73" s="129"/>
      <c r="C73" s="136"/>
      <c r="D73" s="131"/>
      <c r="E73" s="126"/>
      <c r="F73" s="132"/>
      <c r="G73" s="133"/>
      <c r="H73" s="137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e">
        <f t="shared" si="8"/>
        <v>#N/A</v>
      </c>
    </row>
    <row r="74" spans="1:14" ht="45" customHeight="1">
      <c r="A74" s="135"/>
      <c r="B74" s="129"/>
      <c r="C74" s="136"/>
      <c r="D74" s="131"/>
      <c r="E74" s="126"/>
      <c r="F74" s="132"/>
      <c r="G74" s="133"/>
      <c r="H74" s="137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e">
        <f t="shared" si="8"/>
        <v>#N/A</v>
      </c>
    </row>
    <row r="75" spans="1:14" ht="45" customHeight="1">
      <c r="A75" s="135"/>
      <c r="B75" s="129"/>
      <c r="C75" s="136"/>
      <c r="D75" s="131"/>
      <c r="E75" s="126"/>
      <c r="F75" s="132"/>
      <c r="G75" s="133"/>
      <c r="H75" s="137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e">
        <f t="shared" si="8"/>
        <v>#N/A</v>
      </c>
    </row>
    <row r="76" spans="1:14" ht="45" customHeight="1">
      <c r="A76" s="135"/>
      <c r="B76" s="129"/>
      <c r="C76" s="136"/>
      <c r="D76" s="131"/>
      <c r="E76" s="126"/>
      <c r="F76" s="132"/>
      <c r="G76" s="133"/>
      <c r="H76" s="137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e">
        <f t="shared" si="8"/>
        <v>#N/A</v>
      </c>
    </row>
    <row r="77" spans="1:14" ht="45" customHeight="1">
      <c r="A77" s="135"/>
      <c r="B77" s="129"/>
      <c r="C77" s="136"/>
      <c r="D77" s="131"/>
      <c r="E77" s="126"/>
      <c r="F77" s="132"/>
      <c r="G77" s="133"/>
      <c r="H77" s="137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e">
        <f t="shared" si="8"/>
        <v>#N/A</v>
      </c>
    </row>
    <row r="78" spans="1:14" ht="45" customHeight="1">
      <c r="A78" s="135"/>
      <c r="B78" s="129"/>
      <c r="C78" s="136"/>
      <c r="D78" s="131"/>
      <c r="E78" s="126"/>
      <c r="F78" s="132"/>
      <c r="G78" s="133"/>
      <c r="H78" s="137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e">
        <f t="shared" si="8"/>
        <v>#N/A</v>
      </c>
    </row>
    <row r="79" spans="1:14" ht="45" customHeight="1">
      <c r="A79" s="135"/>
      <c r="B79" s="129"/>
      <c r="C79" s="136"/>
      <c r="D79" s="131"/>
      <c r="E79" s="126"/>
      <c r="F79" s="132"/>
      <c r="G79" s="133"/>
      <c r="H79" s="137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e">
        <f t="shared" si="8"/>
        <v>#N/A</v>
      </c>
    </row>
    <row r="80" spans="1:14" ht="45" customHeight="1">
      <c r="A80" s="135"/>
      <c r="B80" s="129"/>
      <c r="C80" s="136"/>
      <c r="D80" s="131"/>
      <c r="E80" s="126"/>
      <c r="F80" s="132"/>
      <c r="G80" s="133"/>
      <c r="H80" s="137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e">
        <f t="shared" si="8"/>
        <v>#N/A</v>
      </c>
    </row>
    <row r="81" spans="1:14" ht="45" customHeight="1">
      <c r="A81" s="135"/>
      <c r="B81" s="129"/>
      <c r="C81" s="136"/>
      <c r="D81" s="131"/>
      <c r="E81" s="126"/>
      <c r="F81" s="132"/>
      <c r="G81" s="133"/>
      <c r="H81" s="137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e">
        <f t="shared" si="8"/>
        <v>#N/A</v>
      </c>
    </row>
    <row r="82" spans="1:14" ht="45" customHeight="1">
      <c r="A82" s="135"/>
      <c r="B82" s="129"/>
      <c r="C82" s="136"/>
      <c r="D82" s="131"/>
      <c r="E82" s="126"/>
      <c r="F82" s="132"/>
      <c r="G82" s="133"/>
      <c r="H82" s="137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e">
        <f t="shared" si="8"/>
        <v>#N/A</v>
      </c>
    </row>
    <row r="83" spans="1:14" ht="45" customHeight="1">
      <c r="A83" s="135"/>
      <c r="B83" s="129"/>
      <c r="C83" s="136"/>
      <c r="D83" s="131"/>
      <c r="E83" s="126"/>
      <c r="F83" s="132"/>
      <c r="G83" s="133"/>
      <c r="H83" s="137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e">
        <f t="shared" si="8"/>
        <v>#N/A</v>
      </c>
    </row>
    <row r="84" spans="1:14" ht="45" customHeight="1">
      <c r="A84" s="135"/>
      <c r="B84" s="129"/>
      <c r="C84" s="136"/>
      <c r="D84" s="131"/>
      <c r="E84" s="126"/>
      <c r="F84" s="132"/>
      <c r="G84" s="133"/>
      <c r="H84" s="137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e">
        <f t="shared" si="8"/>
        <v>#N/A</v>
      </c>
    </row>
    <row r="85" spans="1:14" ht="45" customHeight="1">
      <c r="A85" s="135"/>
      <c r="B85" s="129"/>
      <c r="C85" s="136"/>
      <c r="D85" s="131"/>
      <c r="E85" s="126"/>
      <c r="F85" s="132"/>
      <c r="G85" s="133"/>
      <c r="H85" s="137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e">
        <f t="shared" si="8"/>
        <v>#N/A</v>
      </c>
    </row>
    <row r="86" spans="1:14" ht="45" customHeight="1">
      <c r="A86" s="135"/>
      <c r="B86" s="129"/>
      <c r="C86" s="136"/>
      <c r="D86" s="131"/>
      <c r="E86" s="126"/>
      <c r="F86" s="132"/>
      <c r="G86" s="133"/>
      <c r="H86" s="137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e">
        <f t="shared" si="8"/>
        <v>#N/A</v>
      </c>
    </row>
    <row r="87" spans="1:14" ht="45" customHeight="1">
      <c r="A87" s="135"/>
      <c r="B87" s="129"/>
      <c r="C87" s="136"/>
      <c r="D87" s="131"/>
      <c r="E87" s="126"/>
      <c r="F87" s="132"/>
      <c r="G87" s="133"/>
      <c r="H87" s="137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e">
        <f t="shared" si="8"/>
        <v>#N/A</v>
      </c>
    </row>
    <row r="88" spans="1:14" ht="45" customHeight="1">
      <c r="A88" s="135"/>
      <c r="B88" s="129"/>
      <c r="C88" s="136"/>
      <c r="D88" s="131"/>
      <c r="E88" s="126"/>
      <c r="F88" s="132"/>
      <c r="G88" s="133"/>
      <c r="H88" s="137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e">
        <f t="shared" si="8"/>
        <v>#N/A</v>
      </c>
    </row>
    <row r="89" spans="1:14" ht="45" customHeight="1">
      <c r="A89" s="135"/>
      <c r="B89" s="129"/>
      <c r="C89" s="136"/>
      <c r="D89" s="131"/>
      <c r="E89" s="126"/>
      <c r="F89" s="132"/>
      <c r="G89" s="133"/>
      <c r="H89" s="137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e">
        <f t="shared" si="8"/>
        <v>#N/A</v>
      </c>
    </row>
    <row r="90" spans="1:14" ht="45" customHeight="1">
      <c r="A90" s="135"/>
      <c r="B90" s="129"/>
      <c r="C90" s="136"/>
      <c r="D90" s="131"/>
      <c r="E90" s="126"/>
      <c r="F90" s="132"/>
      <c r="G90" s="133"/>
      <c r="H90" s="137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e">
        <f t="shared" si="8"/>
        <v>#N/A</v>
      </c>
    </row>
    <row r="91" spans="1:14" ht="45" customHeight="1">
      <c r="A91" s="135"/>
      <c r="B91" s="129"/>
      <c r="C91" s="136"/>
      <c r="D91" s="131"/>
      <c r="E91" s="126"/>
      <c r="F91" s="132"/>
      <c r="G91" s="133"/>
      <c r="H91" s="137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e">
        <f t="shared" si="8"/>
        <v>#N/A</v>
      </c>
    </row>
    <row r="92" spans="1:14" ht="45" customHeight="1">
      <c r="A92" s="135"/>
      <c r="B92" s="129"/>
      <c r="C92" s="136"/>
      <c r="D92" s="131"/>
      <c r="E92" s="126"/>
      <c r="F92" s="132"/>
      <c r="G92" s="133"/>
      <c r="H92" s="137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e">
        <f t="shared" si="8"/>
        <v>#N/A</v>
      </c>
    </row>
    <row r="93" spans="1:14" ht="45" customHeight="1">
      <c r="A93" s="135"/>
      <c r="B93" s="129"/>
      <c r="C93" s="136"/>
      <c r="D93" s="131"/>
      <c r="E93" s="126"/>
      <c r="F93" s="132"/>
      <c r="G93" s="133"/>
      <c r="H93" s="137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e">
        <f t="shared" si="8"/>
        <v>#N/A</v>
      </c>
    </row>
    <row r="94" spans="1:14" ht="45" customHeight="1">
      <c r="A94" s="135"/>
      <c r="B94" s="129"/>
      <c r="C94" s="136"/>
      <c r="D94" s="131"/>
      <c r="E94" s="126"/>
      <c r="F94" s="132"/>
      <c r="G94" s="133"/>
      <c r="H94" s="137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e">
        <f t="shared" si="8"/>
        <v>#N/A</v>
      </c>
    </row>
    <row r="95" spans="1:14" ht="45" customHeight="1">
      <c r="A95" s="135"/>
      <c r="B95" s="129"/>
      <c r="C95" s="136"/>
      <c r="D95" s="131"/>
      <c r="E95" s="126"/>
      <c r="F95" s="132"/>
      <c r="G95" s="133"/>
      <c r="H95" s="137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e">
        <f t="shared" si="8"/>
        <v>#N/A</v>
      </c>
    </row>
    <row r="96" spans="1:14" ht="45" customHeight="1">
      <c r="A96" s="135"/>
      <c r="B96" s="129"/>
      <c r="C96" s="136"/>
      <c r="D96" s="131"/>
      <c r="E96" s="126"/>
      <c r="F96" s="132"/>
      <c r="G96" s="133"/>
      <c r="H96" s="137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e">
        <f t="shared" si="8"/>
        <v>#N/A</v>
      </c>
    </row>
    <row r="97" spans="1:14" ht="45" customHeight="1">
      <c r="A97" s="135"/>
      <c r="B97" s="129"/>
      <c r="C97" s="136"/>
      <c r="D97" s="131"/>
      <c r="E97" s="126"/>
      <c r="F97" s="132"/>
      <c r="G97" s="133"/>
      <c r="H97" s="137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e">
        <f t="shared" si="8"/>
        <v>#N/A</v>
      </c>
    </row>
    <row r="98" spans="1:14" ht="45" customHeight="1">
      <c r="A98" s="135"/>
      <c r="B98" s="129"/>
      <c r="C98" s="136"/>
      <c r="D98" s="131"/>
      <c r="E98" s="126"/>
      <c r="F98" s="132"/>
      <c r="G98" s="133"/>
      <c r="H98" s="137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e">
        <f t="shared" si="8"/>
        <v>#N/A</v>
      </c>
    </row>
    <row r="99" spans="1:14" ht="45" customHeight="1">
      <c r="A99" s="135"/>
      <c r="B99" s="129"/>
      <c r="C99" s="136"/>
      <c r="D99" s="131"/>
      <c r="E99" s="126"/>
      <c r="F99" s="132"/>
      <c r="G99" s="133"/>
      <c r="H99" s="137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e">
        <f t="shared" si="8"/>
        <v>#N/A</v>
      </c>
    </row>
    <row r="100" spans="1:14" ht="45" customHeight="1">
      <c r="A100" s="135"/>
      <c r="B100" s="129"/>
      <c r="C100" s="136"/>
      <c r="D100" s="131"/>
      <c r="E100" s="126"/>
      <c r="F100" s="132"/>
      <c r="G100" s="133"/>
      <c r="H100" s="137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e">
        <f t="shared" si="8"/>
        <v>#N/A</v>
      </c>
    </row>
    <row r="101" spans="1:14" ht="45" customHeight="1">
      <c r="A101" s="135"/>
      <c r="B101" s="129"/>
      <c r="C101" s="136"/>
      <c r="D101" s="131"/>
      <c r="E101" s="126"/>
      <c r="F101" s="132"/>
      <c r="G101" s="133"/>
      <c r="H101" s="137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e">
        <f t="shared" si="8"/>
        <v>#N/A</v>
      </c>
    </row>
    <row r="102" spans="1:14" ht="45" customHeight="1">
      <c r="A102" s="135"/>
      <c r="B102" s="129"/>
      <c r="C102" s="136"/>
      <c r="D102" s="131"/>
      <c r="E102" s="126"/>
      <c r="F102" s="132"/>
      <c r="G102" s="133"/>
      <c r="H102" s="137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e">
        <f t="shared" si="8"/>
        <v>#N/A</v>
      </c>
    </row>
    <row r="103" spans="1:14" ht="45" customHeight="1">
      <c r="A103" s="135"/>
      <c r="B103" s="129"/>
      <c r="C103" s="136"/>
      <c r="D103" s="131"/>
      <c r="E103" s="126"/>
      <c r="F103" s="132"/>
      <c r="G103" s="133"/>
      <c r="H103" s="137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e">
        <f t="shared" si="8"/>
        <v>#N/A</v>
      </c>
    </row>
    <row r="104" spans="1:14" ht="45" customHeight="1">
      <c r="A104" s="135"/>
      <c r="B104" s="129"/>
      <c r="C104" s="136"/>
      <c r="D104" s="131"/>
      <c r="E104" s="126"/>
      <c r="F104" s="132"/>
      <c r="G104" s="133"/>
      <c r="H104" s="137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e">
        <f t="shared" si="8"/>
        <v>#N/A</v>
      </c>
    </row>
    <row r="105" spans="1:14" ht="45" customHeight="1">
      <c r="A105" s="135"/>
      <c r="B105" s="129"/>
      <c r="C105" s="136"/>
      <c r="D105" s="131"/>
      <c r="E105" s="126"/>
      <c r="F105" s="132"/>
      <c r="G105" s="133"/>
      <c r="H105" s="137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e">
        <f t="shared" si="8"/>
        <v>#N/A</v>
      </c>
    </row>
    <row r="106" spans="1:14" ht="45" customHeight="1">
      <c r="A106" s="135"/>
      <c r="B106" s="129"/>
      <c r="C106" s="136"/>
      <c r="D106" s="131"/>
      <c r="E106" s="126"/>
      <c r="F106" s="132"/>
      <c r="G106" s="133"/>
      <c r="H106" s="137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e">
        <f t="shared" si="8"/>
        <v>#N/A</v>
      </c>
    </row>
    <row r="107" spans="1:14" ht="45" customHeight="1">
      <c r="A107" s="135"/>
      <c r="B107" s="129"/>
      <c r="C107" s="136"/>
      <c r="D107" s="131"/>
      <c r="E107" s="126"/>
      <c r="F107" s="132"/>
      <c r="G107" s="133"/>
      <c r="H107" s="137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e">
        <f t="shared" si="8"/>
        <v>#N/A</v>
      </c>
    </row>
    <row r="108" spans="1:14" ht="45" customHeight="1">
      <c r="A108" s="135"/>
      <c r="B108" s="129"/>
      <c r="C108" s="136"/>
      <c r="D108" s="131"/>
      <c r="E108" s="126"/>
      <c r="F108" s="132"/>
      <c r="G108" s="133"/>
      <c r="H108" s="137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e">
        <f t="shared" si="8"/>
        <v>#N/A</v>
      </c>
    </row>
    <row r="109" spans="1:14" ht="45" customHeight="1">
      <c r="A109" s="135"/>
      <c r="B109" s="129"/>
      <c r="C109" s="136"/>
      <c r="D109" s="131"/>
      <c r="E109" s="126"/>
      <c r="F109" s="132"/>
      <c r="G109" s="133"/>
      <c r="H109" s="137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e">
        <f t="shared" si="8"/>
        <v>#N/A</v>
      </c>
    </row>
    <row r="110" spans="1:14" ht="45" customHeight="1">
      <c r="A110" s="135"/>
      <c r="B110" s="129"/>
      <c r="C110" s="136"/>
      <c r="D110" s="131"/>
      <c r="E110" s="126"/>
      <c r="F110" s="132"/>
      <c r="G110" s="133"/>
      <c r="H110" s="137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e">
        <f t="shared" si="8"/>
        <v>#N/A</v>
      </c>
    </row>
    <row r="111" spans="1:14" ht="45" customHeight="1">
      <c r="A111" s="135"/>
      <c r="B111" s="129"/>
      <c r="C111" s="136"/>
      <c r="D111" s="131"/>
      <c r="E111" s="126"/>
      <c r="F111" s="132"/>
      <c r="G111" s="133"/>
      <c r="H111" s="137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e">
        <f t="shared" si="8"/>
        <v>#N/A</v>
      </c>
    </row>
    <row r="112" spans="1:14" ht="45" customHeight="1">
      <c r="A112" s="135"/>
      <c r="B112" s="129"/>
      <c r="C112" s="136"/>
      <c r="D112" s="131"/>
      <c r="E112" s="126"/>
      <c r="F112" s="132"/>
      <c r="G112" s="133"/>
      <c r="H112" s="137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e">
        <f t="shared" si="8"/>
        <v>#N/A</v>
      </c>
    </row>
    <row r="113" spans="1:14" ht="45" customHeight="1">
      <c r="A113" s="135"/>
      <c r="B113" s="129"/>
      <c r="C113" s="136"/>
      <c r="D113" s="131"/>
      <c r="E113" s="126"/>
      <c r="F113" s="132"/>
      <c r="G113" s="133"/>
      <c r="H113" s="137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e">
        <f t="shared" si="8"/>
        <v>#N/A</v>
      </c>
    </row>
    <row r="114" spans="1:14" ht="45" customHeight="1">
      <c r="A114" s="135"/>
      <c r="B114" s="129"/>
      <c r="C114" s="136"/>
      <c r="D114" s="131"/>
      <c r="E114" s="126"/>
      <c r="F114" s="132"/>
      <c r="G114" s="133"/>
      <c r="H114" s="137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e">
        <f t="shared" si="8"/>
        <v>#N/A</v>
      </c>
    </row>
    <row r="115" spans="1:14" ht="45" customHeight="1">
      <c r="A115" s="135"/>
      <c r="B115" s="129"/>
      <c r="C115" s="136"/>
      <c r="D115" s="131"/>
      <c r="E115" s="126"/>
      <c r="F115" s="132"/>
      <c r="G115" s="133"/>
      <c r="H115" s="137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e">
        <f t="shared" si="8"/>
        <v>#N/A</v>
      </c>
    </row>
    <row r="116" spans="1:14" ht="45" customHeight="1">
      <c r="A116" s="135"/>
      <c r="B116" s="129"/>
      <c r="C116" s="136"/>
      <c r="D116" s="131"/>
      <c r="E116" s="126"/>
      <c r="F116" s="132"/>
      <c r="G116" s="133"/>
      <c r="H116" s="137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e">
        <f t="shared" si="8"/>
        <v>#N/A</v>
      </c>
    </row>
    <row r="117" spans="1:14" ht="45" customHeight="1">
      <c r="A117" s="135"/>
      <c r="B117" s="129"/>
      <c r="C117" s="136"/>
      <c r="D117" s="131"/>
      <c r="E117" s="126"/>
      <c r="F117" s="132"/>
      <c r="G117" s="133"/>
      <c r="H117" s="137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e">
        <f t="shared" si="8"/>
        <v>#N/A</v>
      </c>
    </row>
    <row r="118" spans="1:14" ht="45" customHeight="1">
      <c r="A118" s="135"/>
      <c r="B118" s="129"/>
      <c r="C118" s="136"/>
      <c r="D118" s="131"/>
      <c r="E118" s="126"/>
      <c r="F118" s="132"/>
      <c r="G118" s="133"/>
      <c r="H118" s="137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e">
        <f t="shared" si="8"/>
        <v>#N/A</v>
      </c>
    </row>
    <row r="119" spans="1:14" ht="45" customHeight="1">
      <c r="A119" s="135"/>
      <c r="B119" s="129"/>
      <c r="C119" s="136"/>
      <c r="D119" s="131"/>
      <c r="E119" s="126"/>
      <c r="F119" s="132"/>
      <c r="G119" s="133"/>
      <c r="H119" s="137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e">
        <f t="shared" si="8"/>
        <v>#N/A</v>
      </c>
    </row>
    <row r="120" spans="1:14" ht="45" customHeight="1">
      <c r="A120" s="135"/>
      <c r="B120" s="129"/>
      <c r="C120" s="136"/>
      <c r="D120" s="131"/>
      <c r="E120" s="126"/>
      <c r="F120" s="132"/>
      <c r="G120" s="133"/>
      <c r="H120" s="137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e">
        <f t="shared" si="8"/>
        <v>#N/A</v>
      </c>
    </row>
    <row r="121" spans="1:14" ht="45" customHeight="1">
      <c r="A121" s="135"/>
      <c r="B121" s="129"/>
      <c r="C121" s="136"/>
      <c r="D121" s="131"/>
      <c r="E121" s="126"/>
      <c r="F121" s="132"/>
      <c r="G121" s="133"/>
      <c r="H121" s="137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e">
        <f t="shared" si="8"/>
        <v>#N/A</v>
      </c>
    </row>
    <row r="122" spans="1:14" ht="45" customHeight="1">
      <c r="A122" s="135"/>
      <c r="B122" s="129"/>
      <c r="C122" s="136"/>
      <c r="D122" s="131"/>
      <c r="E122" s="126"/>
      <c r="F122" s="132"/>
      <c r="G122" s="133"/>
      <c r="H122" s="137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e">
        <f t="shared" si="8"/>
        <v>#N/A</v>
      </c>
    </row>
    <row r="123" spans="1:14" ht="45" customHeight="1">
      <c r="A123" s="135"/>
      <c r="B123" s="129"/>
      <c r="C123" s="136"/>
      <c r="D123" s="131"/>
      <c r="E123" s="126"/>
      <c r="F123" s="132"/>
      <c r="G123" s="133"/>
      <c r="H123" s="137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e">
        <f t="shared" si="8"/>
        <v>#N/A</v>
      </c>
    </row>
    <row r="124" spans="1:14" ht="45" customHeight="1">
      <c r="A124" s="135"/>
      <c r="B124" s="129"/>
      <c r="C124" s="136"/>
      <c r="D124" s="131"/>
      <c r="E124" s="126"/>
      <c r="F124" s="132"/>
      <c r="G124" s="133"/>
      <c r="H124" s="137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e">
        <f t="shared" si="8"/>
        <v>#N/A</v>
      </c>
    </row>
    <row r="125" spans="1:14" ht="45" customHeight="1">
      <c r="A125" s="135"/>
      <c r="B125" s="129"/>
      <c r="C125" s="136"/>
      <c r="D125" s="131"/>
      <c r="E125" s="126"/>
      <c r="F125" s="132"/>
      <c r="G125" s="133"/>
      <c r="H125" s="137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e">
        <f t="shared" si="8"/>
        <v>#N/A</v>
      </c>
    </row>
    <row r="126" spans="1:14" ht="45" customHeight="1">
      <c r="A126" s="135"/>
      <c r="B126" s="129"/>
      <c r="C126" s="136"/>
      <c r="D126" s="131"/>
      <c r="E126" s="126"/>
      <c r="F126" s="132"/>
      <c r="G126" s="133"/>
      <c r="H126" s="137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e">
        <f t="shared" si="8"/>
        <v>#N/A</v>
      </c>
    </row>
    <row r="127" spans="1:14" ht="45" customHeight="1">
      <c r="A127" s="135"/>
      <c r="B127" s="129"/>
      <c r="C127" s="136"/>
      <c r="D127" s="131"/>
      <c r="E127" s="126"/>
      <c r="F127" s="132"/>
      <c r="G127" s="133"/>
      <c r="H127" s="137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e">
        <f t="shared" si="8"/>
        <v>#N/A</v>
      </c>
    </row>
    <row r="128" spans="1:14" ht="45" customHeight="1">
      <c r="A128" s="135"/>
      <c r="B128" s="129"/>
      <c r="C128" s="136"/>
      <c r="D128" s="131"/>
      <c r="E128" s="126"/>
      <c r="F128" s="132"/>
      <c r="G128" s="133"/>
      <c r="H128" s="137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e">
        <f t="shared" si="8"/>
        <v>#N/A</v>
      </c>
    </row>
    <row r="129" spans="1:14" ht="45" customHeight="1">
      <c r="A129" s="135"/>
      <c r="B129" s="129"/>
      <c r="C129" s="136"/>
      <c r="D129" s="131"/>
      <c r="E129" s="126"/>
      <c r="F129" s="132"/>
      <c r="G129" s="133"/>
      <c r="H129" s="137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e">
        <f t="shared" si="8"/>
        <v>#N/A</v>
      </c>
    </row>
    <row r="130" spans="1:14" ht="45" customHeight="1">
      <c r="A130" s="135"/>
      <c r="B130" s="129"/>
      <c r="C130" s="136"/>
      <c r="D130" s="131"/>
      <c r="E130" s="126"/>
      <c r="F130" s="132"/>
      <c r="G130" s="133"/>
      <c r="H130" s="137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e">
        <f t="shared" si="8"/>
        <v>#N/A</v>
      </c>
    </row>
    <row r="131" spans="1:14" ht="45" customHeight="1">
      <c r="A131" s="135"/>
      <c r="B131" s="129"/>
      <c r="C131" s="136"/>
      <c r="D131" s="131"/>
      <c r="E131" s="126"/>
      <c r="F131" s="132"/>
      <c r="G131" s="133"/>
      <c r="H131" s="137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e">
        <f t="shared" si="8"/>
        <v>#N/A</v>
      </c>
    </row>
    <row r="132" spans="1:14" ht="45" customHeight="1">
      <c r="A132" s="135"/>
      <c r="B132" s="129"/>
      <c r="C132" s="136"/>
      <c r="D132" s="131"/>
      <c r="E132" s="126"/>
      <c r="F132" s="132"/>
      <c r="G132" s="133"/>
      <c r="H132" s="137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e">
        <f t="shared" ref="N132:N195" si="13">AND($M$1="Flat Rate",M132="Staff_Costs")</f>
        <v>#N/A</v>
      </c>
    </row>
    <row r="133" spans="1:14" ht="45" customHeight="1">
      <c r="A133" s="135"/>
      <c r="B133" s="129"/>
      <c r="C133" s="136"/>
      <c r="D133" s="131"/>
      <c r="E133" s="126"/>
      <c r="F133" s="132"/>
      <c r="G133" s="133"/>
      <c r="H133" s="137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e">
        <f t="shared" si="13"/>
        <v>#N/A</v>
      </c>
    </row>
    <row r="134" spans="1:14" ht="45" customHeight="1">
      <c r="A134" s="135"/>
      <c r="B134" s="129"/>
      <c r="C134" s="136"/>
      <c r="D134" s="131"/>
      <c r="E134" s="126"/>
      <c r="F134" s="132"/>
      <c r="G134" s="133"/>
      <c r="H134" s="137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e">
        <f t="shared" si="13"/>
        <v>#N/A</v>
      </c>
    </row>
    <row r="135" spans="1:14" ht="45" customHeight="1">
      <c r="A135" s="135"/>
      <c r="B135" s="129"/>
      <c r="C135" s="136"/>
      <c r="D135" s="131"/>
      <c r="E135" s="126"/>
      <c r="F135" s="132"/>
      <c r="G135" s="133"/>
      <c r="H135" s="137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e">
        <f t="shared" si="13"/>
        <v>#N/A</v>
      </c>
    </row>
    <row r="136" spans="1:14" ht="45" customHeight="1">
      <c r="A136" s="135"/>
      <c r="B136" s="129"/>
      <c r="C136" s="136"/>
      <c r="D136" s="131"/>
      <c r="E136" s="126"/>
      <c r="F136" s="132"/>
      <c r="G136" s="133"/>
      <c r="H136" s="137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e">
        <f t="shared" si="13"/>
        <v>#N/A</v>
      </c>
    </row>
    <row r="137" spans="1:14" ht="45" customHeight="1">
      <c r="A137" s="135"/>
      <c r="B137" s="129"/>
      <c r="C137" s="136"/>
      <c r="D137" s="131"/>
      <c r="E137" s="126"/>
      <c r="F137" s="132"/>
      <c r="G137" s="133"/>
      <c r="H137" s="137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e">
        <f t="shared" si="13"/>
        <v>#N/A</v>
      </c>
    </row>
    <row r="138" spans="1:14" ht="45" customHeight="1">
      <c r="A138" s="135"/>
      <c r="B138" s="129"/>
      <c r="C138" s="136"/>
      <c r="D138" s="131"/>
      <c r="E138" s="126"/>
      <c r="F138" s="132"/>
      <c r="G138" s="133"/>
      <c r="H138" s="137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e">
        <f t="shared" si="13"/>
        <v>#N/A</v>
      </c>
    </row>
    <row r="139" spans="1:14" ht="45" customHeight="1">
      <c r="A139" s="135"/>
      <c r="B139" s="129"/>
      <c r="C139" s="136"/>
      <c r="D139" s="131"/>
      <c r="E139" s="126"/>
      <c r="F139" s="132"/>
      <c r="G139" s="133"/>
      <c r="H139" s="137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e">
        <f t="shared" si="13"/>
        <v>#N/A</v>
      </c>
    </row>
    <row r="140" spans="1:14" ht="45" customHeight="1">
      <c r="A140" s="135"/>
      <c r="B140" s="129"/>
      <c r="C140" s="136"/>
      <c r="D140" s="131"/>
      <c r="E140" s="126"/>
      <c r="F140" s="132"/>
      <c r="G140" s="133"/>
      <c r="H140" s="137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e">
        <f t="shared" si="13"/>
        <v>#N/A</v>
      </c>
    </row>
    <row r="141" spans="1:14" ht="45" customHeight="1">
      <c r="A141" s="135"/>
      <c r="B141" s="129"/>
      <c r="C141" s="136"/>
      <c r="D141" s="131"/>
      <c r="E141" s="126"/>
      <c r="F141" s="132"/>
      <c r="G141" s="133"/>
      <c r="H141" s="137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e">
        <f t="shared" si="13"/>
        <v>#N/A</v>
      </c>
    </row>
    <row r="142" spans="1:14" ht="45" customHeight="1">
      <c r="A142" s="135"/>
      <c r="B142" s="129"/>
      <c r="C142" s="136"/>
      <c r="D142" s="131"/>
      <c r="E142" s="126"/>
      <c r="F142" s="132"/>
      <c r="G142" s="133"/>
      <c r="H142" s="137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e">
        <f t="shared" si="13"/>
        <v>#N/A</v>
      </c>
    </row>
    <row r="143" spans="1:14" ht="45" customHeight="1">
      <c r="A143" s="135"/>
      <c r="B143" s="129"/>
      <c r="C143" s="136"/>
      <c r="D143" s="131"/>
      <c r="E143" s="126"/>
      <c r="F143" s="132"/>
      <c r="G143" s="133"/>
      <c r="H143" s="137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e">
        <f t="shared" si="13"/>
        <v>#N/A</v>
      </c>
    </row>
    <row r="144" spans="1:14" ht="45" customHeight="1">
      <c r="A144" s="135"/>
      <c r="B144" s="129"/>
      <c r="C144" s="136"/>
      <c r="D144" s="131"/>
      <c r="E144" s="126"/>
      <c r="F144" s="132"/>
      <c r="G144" s="133"/>
      <c r="H144" s="137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e">
        <f t="shared" si="13"/>
        <v>#N/A</v>
      </c>
    </row>
    <row r="145" spans="1:14" ht="45" customHeight="1">
      <c r="A145" s="135"/>
      <c r="B145" s="129"/>
      <c r="C145" s="136"/>
      <c r="D145" s="131"/>
      <c r="E145" s="126"/>
      <c r="F145" s="132"/>
      <c r="G145" s="133"/>
      <c r="H145" s="137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e">
        <f t="shared" si="13"/>
        <v>#N/A</v>
      </c>
    </row>
    <row r="146" spans="1:14" ht="45" customHeight="1">
      <c r="A146" s="135"/>
      <c r="B146" s="129"/>
      <c r="C146" s="136"/>
      <c r="D146" s="131"/>
      <c r="E146" s="126"/>
      <c r="F146" s="132"/>
      <c r="G146" s="133"/>
      <c r="H146" s="137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e">
        <f t="shared" si="13"/>
        <v>#N/A</v>
      </c>
    </row>
    <row r="147" spans="1:14" ht="45" customHeight="1">
      <c r="A147" s="135"/>
      <c r="B147" s="129"/>
      <c r="C147" s="136"/>
      <c r="D147" s="131"/>
      <c r="E147" s="126"/>
      <c r="F147" s="132"/>
      <c r="G147" s="133"/>
      <c r="H147" s="137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e">
        <f t="shared" si="13"/>
        <v>#N/A</v>
      </c>
    </row>
    <row r="148" spans="1:14" ht="45" customHeight="1">
      <c r="A148" s="135"/>
      <c r="B148" s="129"/>
      <c r="C148" s="136"/>
      <c r="D148" s="131"/>
      <c r="E148" s="126"/>
      <c r="F148" s="132"/>
      <c r="G148" s="133"/>
      <c r="H148" s="137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e">
        <f t="shared" si="13"/>
        <v>#N/A</v>
      </c>
    </row>
    <row r="149" spans="1:14" ht="45" customHeight="1">
      <c r="A149" s="135"/>
      <c r="B149" s="129"/>
      <c r="C149" s="136"/>
      <c r="D149" s="131"/>
      <c r="E149" s="126"/>
      <c r="F149" s="132"/>
      <c r="G149" s="133"/>
      <c r="H149" s="137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e">
        <f t="shared" si="13"/>
        <v>#N/A</v>
      </c>
    </row>
    <row r="150" spans="1:14" ht="45" customHeight="1">
      <c r="A150" s="135"/>
      <c r="B150" s="129"/>
      <c r="C150" s="136"/>
      <c r="D150" s="131"/>
      <c r="E150" s="126"/>
      <c r="F150" s="132"/>
      <c r="G150" s="133"/>
      <c r="H150" s="137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e">
        <f t="shared" si="13"/>
        <v>#N/A</v>
      </c>
    </row>
    <row r="151" spans="1:14" ht="45" customHeight="1">
      <c r="A151" s="135"/>
      <c r="B151" s="129"/>
      <c r="C151" s="136"/>
      <c r="D151" s="131"/>
      <c r="E151" s="126"/>
      <c r="F151" s="132"/>
      <c r="G151" s="133"/>
      <c r="H151" s="137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e">
        <f t="shared" si="13"/>
        <v>#N/A</v>
      </c>
    </row>
    <row r="152" spans="1:14" ht="45" customHeight="1">
      <c r="A152" s="135"/>
      <c r="B152" s="129"/>
      <c r="C152" s="136"/>
      <c r="D152" s="131"/>
      <c r="E152" s="126"/>
      <c r="F152" s="132"/>
      <c r="G152" s="133"/>
      <c r="H152" s="137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e">
        <f t="shared" si="13"/>
        <v>#N/A</v>
      </c>
    </row>
    <row r="153" spans="1:14" ht="45" customHeight="1">
      <c r="A153" s="135"/>
      <c r="B153" s="129"/>
      <c r="C153" s="136"/>
      <c r="D153" s="131"/>
      <c r="E153" s="126"/>
      <c r="F153" s="132"/>
      <c r="G153" s="133"/>
      <c r="H153" s="137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e">
        <f t="shared" si="13"/>
        <v>#N/A</v>
      </c>
    </row>
    <row r="154" spans="1:14" ht="45" customHeight="1">
      <c r="A154" s="135"/>
      <c r="B154" s="129"/>
      <c r="C154" s="136"/>
      <c r="D154" s="131"/>
      <c r="E154" s="126"/>
      <c r="F154" s="132"/>
      <c r="G154" s="133"/>
      <c r="H154" s="137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e">
        <f t="shared" si="13"/>
        <v>#N/A</v>
      </c>
    </row>
    <row r="155" spans="1:14" ht="45" customHeight="1">
      <c r="A155" s="135"/>
      <c r="B155" s="129"/>
      <c r="C155" s="136"/>
      <c r="D155" s="131"/>
      <c r="E155" s="126"/>
      <c r="F155" s="132"/>
      <c r="G155" s="133"/>
      <c r="H155" s="137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e">
        <f t="shared" si="13"/>
        <v>#N/A</v>
      </c>
    </row>
    <row r="156" spans="1:14" ht="45" customHeight="1">
      <c r="A156" s="135"/>
      <c r="B156" s="129"/>
      <c r="C156" s="136"/>
      <c r="D156" s="131"/>
      <c r="E156" s="126"/>
      <c r="F156" s="132"/>
      <c r="G156" s="133"/>
      <c r="H156" s="137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e">
        <f t="shared" si="13"/>
        <v>#N/A</v>
      </c>
    </row>
    <row r="157" spans="1:14" ht="45" customHeight="1">
      <c r="A157" s="135"/>
      <c r="B157" s="129"/>
      <c r="C157" s="136"/>
      <c r="D157" s="131"/>
      <c r="E157" s="126"/>
      <c r="F157" s="132"/>
      <c r="G157" s="133"/>
      <c r="H157" s="137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e">
        <f t="shared" si="13"/>
        <v>#N/A</v>
      </c>
    </row>
    <row r="158" spans="1:14" ht="45" customHeight="1">
      <c r="A158" s="135"/>
      <c r="B158" s="129"/>
      <c r="C158" s="136"/>
      <c r="D158" s="131"/>
      <c r="E158" s="126"/>
      <c r="F158" s="132"/>
      <c r="G158" s="133"/>
      <c r="H158" s="137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e">
        <f t="shared" si="13"/>
        <v>#N/A</v>
      </c>
    </row>
    <row r="159" spans="1:14" ht="45" customHeight="1">
      <c r="A159" s="135"/>
      <c r="B159" s="129"/>
      <c r="C159" s="136"/>
      <c r="D159" s="131"/>
      <c r="E159" s="126"/>
      <c r="F159" s="132"/>
      <c r="G159" s="133"/>
      <c r="H159" s="137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e">
        <f t="shared" si="13"/>
        <v>#N/A</v>
      </c>
    </row>
    <row r="160" spans="1:14" ht="45" customHeight="1">
      <c r="A160" s="135"/>
      <c r="B160" s="129"/>
      <c r="C160" s="136"/>
      <c r="D160" s="131"/>
      <c r="E160" s="126"/>
      <c r="F160" s="132"/>
      <c r="G160" s="133"/>
      <c r="H160" s="137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e">
        <f t="shared" si="13"/>
        <v>#N/A</v>
      </c>
    </row>
    <row r="161" spans="1:14" ht="45" customHeight="1">
      <c r="A161" s="135"/>
      <c r="B161" s="129"/>
      <c r="C161" s="136"/>
      <c r="D161" s="131"/>
      <c r="E161" s="126"/>
      <c r="F161" s="132"/>
      <c r="G161" s="133"/>
      <c r="H161" s="137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e">
        <f t="shared" si="13"/>
        <v>#N/A</v>
      </c>
    </row>
    <row r="162" spans="1:14" ht="45" customHeight="1">
      <c r="A162" s="135"/>
      <c r="B162" s="129"/>
      <c r="C162" s="136"/>
      <c r="D162" s="131"/>
      <c r="E162" s="126"/>
      <c r="F162" s="132"/>
      <c r="G162" s="133"/>
      <c r="H162" s="137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e">
        <f t="shared" si="13"/>
        <v>#N/A</v>
      </c>
    </row>
    <row r="163" spans="1:14" ht="45" customHeight="1">
      <c r="A163" s="135"/>
      <c r="B163" s="129"/>
      <c r="C163" s="136"/>
      <c r="D163" s="131"/>
      <c r="E163" s="126"/>
      <c r="F163" s="132"/>
      <c r="G163" s="133"/>
      <c r="H163" s="137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e">
        <f t="shared" si="13"/>
        <v>#N/A</v>
      </c>
    </row>
    <row r="164" spans="1:14" ht="45" customHeight="1">
      <c r="A164" s="135"/>
      <c r="B164" s="129"/>
      <c r="C164" s="136"/>
      <c r="D164" s="131"/>
      <c r="E164" s="126"/>
      <c r="F164" s="132"/>
      <c r="G164" s="133"/>
      <c r="H164" s="137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e">
        <f t="shared" si="13"/>
        <v>#N/A</v>
      </c>
    </row>
    <row r="165" spans="1:14" ht="45" customHeight="1">
      <c r="A165" s="135"/>
      <c r="B165" s="129"/>
      <c r="C165" s="136"/>
      <c r="D165" s="131"/>
      <c r="E165" s="126"/>
      <c r="F165" s="132"/>
      <c r="G165" s="133"/>
      <c r="H165" s="137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e">
        <f t="shared" si="13"/>
        <v>#N/A</v>
      </c>
    </row>
    <row r="166" spans="1:14" ht="45" customHeight="1">
      <c r="A166" s="135"/>
      <c r="B166" s="129"/>
      <c r="C166" s="136"/>
      <c r="D166" s="131"/>
      <c r="E166" s="126"/>
      <c r="F166" s="132"/>
      <c r="G166" s="133"/>
      <c r="H166" s="137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e">
        <f t="shared" si="13"/>
        <v>#N/A</v>
      </c>
    </row>
    <row r="167" spans="1:14" ht="45" customHeight="1">
      <c r="A167" s="135"/>
      <c r="B167" s="129"/>
      <c r="C167" s="136"/>
      <c r="D167" s="131"/>
      <c r="E167" s="126"/>
      <c r="F167" s="132"/>
      <c r="G167" s="133"/>
      <c r="H167" s="137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e">
        <f t="shared" si="13"/>
        <v>#N/A</v>
      </c>
    </row>
    <row r="168" spans="1:14" ht="45" customHeight="1">
      <c r="A168" s="135"/>
      <c r="B168" s="129"/>
      <c r="C168" s="136"/>
      <c r="D168" s="131"/>
      <c r="E168" s="126"/>
      <c r="F168" s="132"/>
      <c r="G168" s="133"/>
      <c r="H168" s="137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e">
        <f t="shared" si="13"/>
        <v>#N/A</v>
      </c>
    </row>
    <row r="169" spans="1:14" ht="45" customHeight="1">
      <c r="A169" s="135"/>
      <c r="B169" s="129"/>
      <c r="C169" s="136"/>
      <c r="D169" s="131"/>
      <c r="E169" s="126"/>
      <c r="F169" s="132"/>
      <c r="G169" s="133"/>
      <c r="H169" s="137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e">
        <f t="shared" si="13"/>
        <v>#N/A</v>
      </c>
    </row>
    <row r="170" spans="1:14" ht="45" customHeight="1">
      <c r="A170" s="135"/>
      <c r="B170" s="129"/>
      <c r="C170" s="136"/>
      <c r="D170" s="131"/>
      <c r="E170" s="126"/>
      <c r="F170" s="132"/>
      <c r="G170" s="133"/>
      <c r="H170" s="137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e">
        <f t="shared" si="13"/>
        <v>#N/A</v>
      </c>
    </row>
    <row r="171" spans="1:14" ht="45" customHeight="1">
      <c r="A171" s="135"/>
      <c r="B171" s="129"/>
      <c r="C171" s="136"/>
      <c r="D171" s="131"/>
      <c r="E171" s="126"/>
      <c r="F171" s="132"/>
      <c r="G171" s="133"/>
      <c r="H171" s="137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e">
        <f t="shared" si="13"/>
        <v>#N/A</v>
      </c>
    </row>
    <row r="172" spans="1:14" ht="45" customHeight="1">
      <c r="A172" s="135"/>
      <c r="B172" s="129"/>
      <c r="C172" s="136"/>
      <c r="D172" s="131"/>
      <c r="E172" s="126"/>
      <c r="F172" s="132"/>
      <c r="G172" s="133"/>
      <c r="H172" s="137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e">
        <f t="shared" si="13"/>
        <v>#N/A</v>
      </c>
    </row>
    <row r="173" spans="1:14" ht="45" customHeight="1">
      <c r="A173" s="135"/>
      <c r="B173" s="129"/>
      <c r="C173" s="136"/>
      <c r="D173" s="131"/>
      <c r="E173" s="126"/>
      <c r="F173" s="132"/>
      <c r="G173" s="133"/>
      <c r="H173" s="137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e">
        <f t="shared" si="13"/>
        <v>#N/A</v>
      </c>
    </row>
    <row r="174" spans="1:14" ht="45" customHeight="1">
      <c r="A174" s="135"/>
      <c r="B174" s="129"/>
      <c r="C174" s="136"/>
      <c r="D174" s="131"/>
      <c r="E174" s="126"/>
      <c r="F174" s="132"/>
      <c r="G174" s="133"/>
      <c r="H174" s="137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e">
        <f t="shared" si="13"/>
        <v>#N/A</v>
      </c>
    </row>
    <row r="175" spans="1:14" ht="45" customHeight="1">
      <c r="A175" s="135"/>
      <c r="B175" s="129"/>
      <c r="C175" s="136"/>
      <c r="D175" s="131"/>
      <c r="E175" s="126"/>
      <c r="F175" s="132"/>
      <c r="G175" s="133"/>
      <c r="H175" s="137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e">
        <f t="shared" si="13"/>
        <v>#N/A</v>
      </c>
    </row>
    <row r="176" spans="1:14" ht="45" customHeight="1">
      <c r="A176" s="135"/>
      <c r="B176" s="129"/>
      <c r="C176" s="136"/>
      <c r="D176" s="131"/>
      <c r="E176" s="126"/>
      <c r="F176" s="132"/>
      <c r="G176" s="133"/>
      <c r="H176" s="137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e">
        <f t="shared" si="13"/>
        <v>#N/A</v>
      </c>
    </row>
    <row r="177" spans="1:14" ht="45" customHeight="1">
      <c r="A177" s="135"/>
      <c r="B177" s="129"/>
      <c r="C177" s="136"/>
      <c r="D177" s="131"/>
      <c r="E177" s="126"/>
      <c r="F177" s="132"/>
      <c r="G177" s="133"/>
      <c r="H177" s="137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e">
        <f t="shared" si="13"/>
        <v>#N/A</v>
      </c>
    </row>
    <row r="178" spans="1:14" ht="45" customHeight="1">
      <c r="A178" s="135"/>
      <c r="B178" s="129"/>
      <c r="C178" s="136"/>
      <c r="D178" s="131"/>
      <c r="E178" s="126"/>
      <c r="F178" s="132"/>
      <c r="G178" s="133"/>
      <c r="H178" s="137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e">
        <f t="shared" si="13"/>
        <v>#N/A</v>
      </c>
    </row>
    <row r="179" spans="1:14" ht="45" customHeight="1">
      <c r="A179" s="135"/>
      <c r="B179" s="129"/>
      <c r="C179" s="136"/>
      <c r="D179" s="131"/>
      <c r="E179" s="126"/>
      <c r="F179" s="132"/>
      <c r="G179" s="133"/>
      <c r="H179" s="137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e">
        <f t="shared" si="13"/>
        <v>#N/A</v>
      </c>
    </row>
    <row r="180" spans="1:14" ht="45" customHeight="1">
      <c r="A180" s="135"/>
      <c r="B180" s="129"/>
      <c r="C180" s="136"/>
      <c r="D180" s="131"/>
      <c r="E180" s="126"/>
      <c r="F180" s="132"/>
      <c r="G180" s="133"/>
      <c r="H180" s="137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e">
        <f t="shared" si="13"/>
        <v>#N/A</v>
      </c>
    </row>
    <row r="181" spans="1:14" ht="45" customHeight="1">
      <c r="A181" s="135"/>
      <c r="B181" s="129"/>
      <c r="C181" s="136"/>
      <c r="D181" s="131"/>
      <c r="E181" s="126"/>
      <c r="F181" s="132"/>
      <c r="G181" s="133"/>
      <c r="H181" s="137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e">
        <f t="shared" si="13"/>
        <v>#N/A</v>
      </c>
    </row>
    <row r="182" spans="1:14" ht="45" customHeight="1">
      <c r="A182" s="135"/>
      <c r="B182" s="129"/>
      <c r="C182" s="136"/>
      <c r="D182" s="131"/>
      <c r="E182" s="126"/>
      <c r="F182" s="132"/>
      <c r="G182" s="133"/>
      <c r="H182" s="137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e">
        <f t="shared" si="13"/>
        <v>#N/A</v>
      </c>
    </row>
    <row r="183" spans="1:14" ht="45" customHeight="1">
      <c r="A183" s="135"/>
      <c r="B183" s="129"/>
      <c r="C183" s="136"/>
      <c r="D183" s="131"/>
      <c r="E183" s="126"/>
      <c r="F183" s="132"/>
      <c r="G183" s="133"/>
      <c r="H183" s="137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e">
        <f t="shared" si="13"/>
        <v>#N/A</v>
      </c>
    </row>
    <row r="184" spans="1:14" ht="45" customHeight="1">
      <c r="A184" s="135"/>
      <c r="B184" s="129"/>
      <c r="C184" s="136"/>
      <c r="D184" s="131"/>
      <c r="E184" s="126"/>
      <c r="F184" s="132"/>
      <c r="G184" s="133"/>
      <c r="H184" s="137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e">
        <f t="shared" si="13"/>
        <v>#N/A</v>
      </c>
    </row>
    <row r="185" spans="1:14" ht="45" customHeight="1">
      <c r="A185" s="135"/>
      <c r="B185" s="129"/>
      <c r="C185" s="136"/>
      <c r="D185" s="131"/>
      <c r="E185" s="126"/>
      <c r="F185" s="132"/>
      <c r="G185" s="133"/>
      <c r="H185" s="137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e">
        <f t="shared" si="13"/>
        <v>#N/A</v>
      </c>
    </row>
    <row r="186" spans="1:14" ht="45" customHeight="1">
      <c r="A186" s="135"/>
      <c r="B186" s="129"/>
      <c r="C186" s="136"/>
      <c r="D186" s="131"/>
      <c r="E186" s="126"/>
      <c r="F186" s="132"/>
      <c r="G186" s="133"/>
      <c r="H186" s="137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e">
        <f t="shared" si="13"/>
        <v>#N/A</v>
      </c>
    </row>
    <row r="187" spans="1:14" ht="45" customHeight="1">
      <c r="A187" s="135"/>
      <c r="B187" s="129"/>
      <c r="C187" s="136"/>
      <c r="D187" s="131"/>
      <c r="E187" s="126"/>
      <c r="F187" s="132"/>
      <c r="G187" s="133"/>
      <c r="H187" s="137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e">
        <f t="shared" si="13"/>
        <v>#N/A</v>
      </c>
    </row>
    <row r="188" spans="1:14" ht="45" customHeight="1">
      <c r="A188" s="135"/>
      <c r="B188" s="129"/>
      <c r="C188" s="136"/>
      <c r="D188" s="131"/>
      <c r="E188" s="126"/>
      <c r="F188" s="132"/>
      <c r="G188" s="133"/>
      <c r="H188" s="137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e">
        <f t="shared" si="13"/>
        <v>#N/A</v>
      </c>
    </row>
    <row r="189" spans="1:14" ht="45" customHeight="1">
      <c r="A189" s="135"/>
      <c r="B189" s="129"/>
      <c r="C189" s="136"/>
      <c r="D189" s="131"/>
      <c r="E189" s="126"/>
      <c r="F189" s="132"/>
      <c r="G189" s="133"/>
      <c r="H189" s="137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e">
        <f t="shared" si="13"/>
        <v>#N/A</v>
      </c>
    </row>
    <row r="190" spans="1:14" ht="45" customHeight="1">
      <c r="A190" s="135"/>
      <c r="B190" s="129"/>
      <c r="C190" s="136"/>
      <c r="D190" s="131"/>
      <c r="E190" s="126"/>
      <c r="F190" s="132"/>
      <c r="G190" s="133"/>
      <c r="H190" s="137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e">
        <f t="shared" si="13"/>
        <v>#N/A</v>
      </c>
    </row>
    <row r="191" spans="1:14" ht="45" customHeight="1">
      <c r="A191" s="135"/>
      <c r="B191" s="129"/>
      <c r="C191" s="136"/>
      <c r="D191" s="131"/>
      <c r="E191" s="126"/>
      <c r="F191" s="132"/>
      <c r="G191" s="133"/>
      <c r="H191" s="137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e">
        <f t="shared" si="13"/>
        <v>#N/A</v>
      </c>
    </row>
    <row r="192" spans="1:14" ht="45" customHeight="1">
      <c r="A192" s="135"/>
      <c r="B192" s="129"/>
      <c r="C192" s="136"/>
      <c r="D192" s="131"/>
      <c r="E192" s="126"/>
      <c r="F192" s="132"/>
      <c r="G192" s="133"/>
      <c r="H192" s="137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e">
        <f t="shared" si="13"/>
        <v>#N/A</v>
      </c>
    </row>
    <row r="193" spans="1:16" ht="45" customHeight="1">
      <c r="A193" s="135"/>
      <c r="B193" s="129"/>
      <c r="C193" s="136"/>
      <c r="D193" s="131"/>
      <c r="E193" s="126"/>
      <c r="F193" s="132"/>
      <c r="G193" s="133"/>
      <c r="H193" s="137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e">
        <f t="shared" si="13"/>
        <v>#N/A</v>
      </c>
    </row>
    <row r="194" spans="1:16" ht="45" customHeight="1">
      <c r="A194" s="135"/>
      <c r="B194" s="129"/>
      <c r="C194" s="136"/>
      <c r="D194" s="131"/>
      <c r="E194" s="126"/>
      <c r="F194" s="132"/>
      <c r="G194" s="133"/>
      <c r="H194" s="137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e">
        <f t="shared" si="13"/>
        <v>#N/A</v>
      </c>
    </row>
    <row r="195" spans="1:16" ht="45" customHeight="1">
      <c r="A195" s="135"/>
      <c r="B195" s="129"/>
      <c r="C195" s="136"/>
      <c r="D195" s="131"/>
      <c r="E195" s="126"/>
      <c r="F195" s="132"/>
      <c r="G195" s="133"/>
      <c r="H195" s="137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e">
        <f t="shared" si="13"/>
        <v>#N/A</v>
      </c>
    </row>
    <row r="196" spans="1:16" ht="45" customHeight="1">
      <c r="A196" s="135"/>
      <c r="B196" s="129"/>
      <c r="C196" s="136"/>
      <c r="D196" s="131"/>
      <c r="E196" s="126"/>
      <c r="F196" s="132"/>
      <c r="G196" s="133"/>
      <c r="H196" s="137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e">
        <f t="shared" ref="N196:N201" si="18">AND($M$1="Flat Rate",M196="Staff_Costs")</f>
        <v>#N/A</v>
      </c>
    </row>
    <row r="197" spans="1:16" ht="45" customHeight="1">
      <c r="A197" s="135"/>
      <c r="B197" s="129"/>
      <c r="C197" s="136"/>
      <c r="D197" s="131"/>
      <c r="E197" s="126"/>
      <c r="F197" s="132"/>
      <c r="G197" s="133"/>
      <c r="H197" s="137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e">
        <f t="shared" si="18"/>
        <v>#N/A</v>
      </c>
    </row>
    <row r="198" spans="1:16" ht="47.25" customHeight="1">
      <c r="A198" s="135"/>
      <c r="B198" s="129"/>
      <c r="C198" s="136"/>
      <c r="D198" s="131"/>
      <c r="E198" s="126"/>
      <c r="F198" s="132"/>
      <c r="G198" s="133"/>
      <c r="H198" s="137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e">
        <f t="shared" si="18"/>
        <v>#N/A</v>
      </c>
    </row>
    <row r="199" spans="1:16" ht="47.25" customHeight="1">
      <c r="A199" s="135"/>
      <c r="B199" s="129"/>
      <c r="C199" s="136"/>
      <c r="D199" s="131"/>
      <c r="E199" s="126"/>
      <c r="F199" s="132"/>
      <c r="G199" s="133"/>
      <c r="H199" s="137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e">
        <f t="shared" si="18"/>
        <v>#N/A</v>
      </c>
    </row>
    <row r="200" spans="1:16" ht="47.25" customHeight="1">
      <c r="A200" s="135"/>
      <c r="B200" s="129"/>
      <c r="C200" s="136"/>
      <c r="D200" s="131"/>
      <c r="E200" s="126"/>
      <c r="F200" s="132"/>
      <c r="G200" s="133"/>
      <c r="H200" s="137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e">
        <f t="shared" si="18"/>
        <v>#N/A</v>
      </c>
    </row>
    <row r="201" spans="1:16" ht="47.25" customHeight="1">
      <c r="A201" s="135"/>
      <c r="B201" s="129"/>
      <c r="C201" s="136"/>
      <c r="D201" s="131"/>
      <c r="E201" s="126"/>
      <c r="F201" s="132"/>
      <c r="G201" s="133"/>
      <c r="H201" s="137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e">
        <f t="shared" si="18"/>
        <v>#N/A</v>
      </c>
    </row>
    <row r="202" spans="1:16" ht="18.75">
      <c r="L202" t="s">
        <v>524</v>
      </c>
      <c r="M202" s="66" t="str">
        <f>IF(I1=0,"-",IF(M203=0,"No Staff Costs",IF(P204=TRUE,"ERROR",IF(N204=TRUE,"Flat Rate", IF(N204=FALSE,"Real Costs", )))))</f>
        <v>-</v>
      </c>
      <c r="N202" t="s">
        <v>521</v>
      </c>
      <c r="O202" t="s">
        <v>522</v>
      </c>
      <c r="P202" t="s">
        <v>523</v>
      </c>
    </row>
    <row r="203" spans="1:16">
      <c r="L203" t="s">
        <v>526</v>
      </c>
      <c r="M203">
        <f>COUNTIF(L3:L201,"Staff*")</f>
        <v>0</v>
      </c>
    </row>
    <row r="204" spans="1:16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>
      <c r="L205" t="s">
        <v>518</v>
      </c>
      <c r="M205">
        <f>COUNTIF(L3:L201,"Staff Costs-Real*")</f>
        <v>0</v>
      </c>
    </row>
    <row r="206" spans="1:16" ht="18.75">
      <c r="L206" t="s">
        <v>525</v>
      </c>
      <c r="M206" s="66" t="str">
        <f>IF(I1=0,"-",IF(M207=0,"No O&amp;A Costs",IF(P208=TRUE,"ERROR",IF(N208=TRUE,"Flat Rate", IF(N208=FALSE,"Real Costs", )))))</f>
        <v>-</v>
      </c>
    </row>
    <row r="207" spans="1:16">
      <c r="L207" t="s">
        <v>527</v>
      </c>
      <c r="M207">
        <f>COUNTIF(L3:L201,"Office*")</f>
        <v>0</v>
      </c>
    </row>
    <row r="208" spans="1:16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>
      <c r="L209" t="s">
        <v>520</v>
      </c>
      <c r="M209">
        <f>COUNTIF(L3:L201,"Office and Administration-Real*")</f>
        <v>0</v>
      </c>
    </row>
  </sheetData>
  <sheetProtection password="C613" sheet="1" objects="1" scenarios="1" autoFilter="0"/>
  <autoFilter ref="A2:I201"/>
  <dataConsolidate/>
  <mergeCells count="1">
    <mergeCell ref="G1:H1"/>
  </mergeCells>
  <conditionalFormatting sqref="I3:I201">
    <cfRule type="expression" dxfId="83" priority="14" stopIfTrue="1">
      <formula>AND(C3="",NOT(H3=""))</formula>
    </cfRule>
  </conditionalFormatting>
  <conditionalFormatting sqref="E1:F1">
    <cfRule type="cellIs" dxfId="82" priority="12" stopIfTrue="1" operator="equal">
      <formula>0</formula>
    </cfRule>
  </conditionalFormatting>
  <conditionalFormatting sqref="I3:I201">
    <cfRule type="expression" dxfId="81" priority="10" stopIfTrue="1">
      <formula>AND(B3="",NOT(H3=""))</formula>
    </cfRule>
  </conditionalFormatting>
  <conditionalFormatting sqref="F3">
    <cfRule type="expression" dxfId="80" priority="9" stopIfTrue="1">
      <formula>D3="Flat Rate"</formula>
    </cfRule>
  </conditionalFormatting>
  <conditionalFormatting sqref="F4:F201">
    <cfRule type="expression" dxfId="79" priority="8" stopIfTrue="1">
      <formula>D4="Flat Rate"</formula>
    </cfRule>
  </conditionalFormatting>
  <conditionalFormatting sqref="G3:G201">
    <cfRule type="expression" dxfId="78" priority="1" stopIfTrue="1">
      <formula>D3="Flat Rate"</formula>
    </cfRule>
    <cfRule type="expression" dxfId="77" priority="2" stopIfTrue="1">
      <formula>C3="Staff Costs"</formula>
    </cfRule>
    <cfRule type="expression" dxfId="76" priority="3" stopIfTrue="1">
      <formula>C3="Travel and Accommodation"</formula>
    </cfRule>
  </conditionalFormatting>
  <dataValidations count="5">
    <dataValidation type="list" allowBlank="1" showInputMessage="1" showErrorMessage="1" sqref="A3:A201">
      <formula1>WPs</formula1>
    </dataValidation>
    <dataValidation type="list" allowBlank="1" showInputMessage="1" showErrorMessage="1" sqref="C3:C201">
      <formula1>Budgetline</formula1>
    </dataValidation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sqref="B3:B201">
      <formula1>IF(A3="WP1", P3WP1, IF(A3="WP2",P3WP2,IF(A3="WP3",P3WP3,IF(A3="WP4",P3WP4,IF(A3="WP5",P3WP5,IF(A3="WP6",P3WP6,0))))))</formula1>
    </dataValidation>
    <dataValidation type="list" allowBlank="1" showInputMessage="1" showErrorMessage="1" errorTitle="Change Budget line orType" sqref="D3:D201">
      <formula1>IF(N3=TRUE,Flat,INDIRECT(M3))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4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P209"/>
  <sheetViews>
    <sheetView zoomScale="55" zoomScaleNormal="55" zoomScaleSheetLayoutView="70" workbookViewId="0">
      <selection activeCell="G62" sqref="G62"/>
    </sheetView>
  </sheetViews>
  <sheetFormatPr defaultRowHeight="1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0" width="10" hidden="1" customWidth="1"/>
    <col min="11" max="12" width="0" hidden="1" customWidth="1"/>
    <col min="13" max="13" width="15.140625" hidden="1" customWidth="1"/>
    <col min="14" max="16" width="0" hidden="1" customWidth="1"/>
  </cols>
  <sheetData>
    <row r="1" spans="1:14" ht="15.75">
      <c r="A1" s="36"/>
      <c r="B1" s="36"/>
      <c r="C1" s="36"/>
      <c r="D1" s="55" t="s">
        <v>15</v>
      </c>
      <c r="E1" s="56">
        <f>'Cover page'!C25</f>
        <v>0</v>
      </c>
      <c r="F1" s="56">
        <f>'Cover page'!G25</f>
        <v>0</v>
      </c>
      <c r="G1" s="195" t="s">
        <v>412</v>
      </c>
      <c r="H1" s="196"/>
      <c r="I1" s="52">
        <f>SUMIF(B3:B201,"D*",I3:I201)</f>
        <v>0</v>
      </c>
      <c r="M1">
        <f>'Cover page'!G33</f>
        <v>0</v>
      </c>
    </row>
    <row r="2" spans="1:14" ht="32.25" customHeight="1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L2" s="65" t="s">
        <v>516</v>
      </c>
      <c r="M2" s="65" t="s">
        <v>578</v>
      </c>
      <c r="N2" s="65" t="s">
        <v>580</v>
      </c>
    </row>
    <row r="3" spans="1:14" ht="45" customHeight="1">
      <c r="A3" s="129"/>
      <c r="B3" s="129"/>
      <c r="C3" s="130"/>
      <c r="D3" s="131"/>
      <c r="E3" s="124"/>
      <c r="F3" s="132"/>
      <c r="G3" s="133"/>
      <c r="H3" s="134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e">
        <f>AND($M$1="Flat Rate",M3="Staff_Costs")</f>
        <v>#N/A</v>
      </c>
    </row>
    <row r="4" spans="1:14" ht="45" customHeight="1">
      <c r="A4" s="135"/>
      <c r="B4" s="129"/>
      <c r="C4" s="136"/>
      <c r="D4" s="131"/>
      <c r="E4" s="124"/>
      <c r="F4" s="132"/>
      <c r="G4" s="133"/>
      <c r="H4" s="137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e">
        <f t="shared" ref="N4:N67" si="3">AND($M$1="Flat Rate",M4="Staff_Costs")</f>
        <v>#N/A</v>
      </c>
    </row>
    <row r="5" spans="1:14" ht="45" customHeight="1">
      <c r="A5" s="135"/>
      <c r="B5" s="129"/>
      <c r="C5" s="136"/>
      <c r="D5" s="131"/>
      <c r="E5" s="124"/>
      <c r="F5" s="132"/>
      <c r="G5" s="133"/>
      <c r="H5" s="137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e">
        <f t="shared" si="3"/>
        <v>#N/A</v>
      </c>
    </row>
    <row r="6" spans="1:14" ht="45" customHeight="1">
      <c r="A6" s="135"/>
      <c r="B6" s="129"/>
      <c r="C6" s="136"/>
      <c r="D6" s="131"/>
      <c r="E6" s="124"/>
      <c r="F6" s="132"/>
      <c r="G6" s="133"/>
      <c r="H6" s="137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e">
        <f t="shared" si="3"/>
        <v>#N/A</v>
      </c>
    </row>
    <row r="7" spans="1:14" ht="45" customHeight="1">
      <c r="A7" s="135"/>
      <c r="B7" s="129"/>
      <c r="C7" s="136"/>
      <c r="D7" s="131"/>
      <c r="E7" s="124"/>
      <c r="F7" s="132"/>
      <c r="G7" s="133"/>
      <c r="H7" s="137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e">
        <f t="shared" si="3"/>
        <v>#N/A</v>
      </c>
    </row>
    <row r="8" spans="1:14" ht="45" customHeight="1">
      <c r="A8" s="135"/>
      <c r="B8" s="129"/>
      <c r="C8" s="136"/>
      <c r="D8" s="131"/>
      <c r="E8" s="124"/>
      <c r="F8" s="132"/>
      <c r="G8" s="133"/>
      <c r="H8" s="137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e">
        <f t="shared" si="3"/>
        <v>#N/A</v>
      </c>
    </row>
    <row r="9" spans="1:14" ht="45" customHeight="1">
      <c r="A9" s="135"/>
      <c r="B9" s="129"/>
      <c r="C9" s="136"/>
      <c r="D9" s="131"/>
      <c r="E9" s="124"/>
      <c r="F9" s="132"/>
      <c r="G9" s="133"/>
      <c r="H9" s="137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e">
        <f t="shared" si="3"/>
        <v>#N/A</v>
      </c>
    </row>
    <row r="10" spans="1:14" ht="45" customHeight="1">
      <c r="A10" s="135"/>
      <c r="B10" s="129"/>
      <c r="C10" s="136"/>
      <c r="D10" s="131"/>
      <c r="E10" s="124"/>
      <c r="F10" s="132"/>
      <c r="G10" s="133"/>
      <c r="H10" s="137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e">
        <f t="shared" si="3"/>
        <v>#N/A</v>
      </c>
    </row>
    <row r="11" spans="1:14" ht="45" customHeight="1">
      <c r="A11" s="135"/>
      <c r="B11" s="129"/>
      <c r="C11" s="136"/>
      <c r="D11" s="131"/>
      <c r="E11" s="124"/>
      <c r="F11" s="132"/>
      <c r="G11" s="133"/>
      <c r="H11" s="137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e">
        <f t="shared" si="3"/>
        <v>#N/A</v>
      </c>
    </row>
    <row r="12" spans="1:14" ht="45" customHeight="1">
      <c r="A12" s="135"/>
      <c r="B12" s="129"/>
      <c r="C12" s="136"/>
      <c r="D12" s="131"/>
      <c r="E12" s="124"/>
      <c r="F12" s="132"/>
      <c r="G12" s="133"/>
      <c r="H12" s="137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e">
        <f t="shared" si="3"/>
        <v>#N/A</v>
      </c>
    </row>
    <row r="13" spans="1:14" ht="45" customHeight="1">
      <c r="A13" s="135"/>
      <c r="B13" s="129"/>
      <c r="C13" s="136"/>
      <c r="D13" s="131"/>
      <c r="E13" s="124"/>
      <c r="F13" s="132"/>
      <c r="G13" s="133"/>
      <c r="H13" s="137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e">
        <f t="shared" si="3"/>
        <v>#N/A</v>
      </c>
    </row>
    <row r="14" spans="1:14" ht="45" customHeight="1">
      <c r="A14" s="135"/>
      <c r="B14" s="129"/>
      <c r="C14" s="136"/>
      <c r="D14" s="131"/>
      <c r="E14" s="124"/>
      <c r="F14" s="132"/>
      <c r="G14" s="133"/>
      <c r="H14" s="137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e">
        <f t="shared" si="3"/>
        <v>#N/A</v>
      </c>
    </row>
    <row r="15" spans="1:14" ht="45" customHeight="1">
      <c r="A15" s="135"/>
      <c r="B15" s="129"/>
      <c r="C15" s="136"/>
      <c r="D15" s="131"/>
      <c r="E15" s="124"/>
      <c r="F15" s="132"/>
      <c r="G15" s="133"/>
      <c r="H15" s="137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e">
        <f t="shared" si="3"/>
        <v>#N/A</v>
      </c>
    </row>
    <row r="16" spans="1:14" ht="45" customHeight="1">
      <c r="A16" s="135"/>
      <c r="B16" s="129"/>
      <c r="C16" s="136"/>
      <c r="D16" s="131"/>
      <c r="E16" s="124"/>
      <c r="F16" s="132"/>
      <c r="G16" s="133"/>
      <c r="H16" s="137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e">
        <f t="shared" si="3"/>
        <v>#N/A</v>
      </c>
    </row>
    <row r="17" spans="1:14" ht="45" customHeight="1">
      <c r="A17" s="135"/>
      <c r="B17" s="129"/>
      <c r="C17" s="136"/>
      <c r="D17" s="131"/>
      <c r="E17" s="124"/>
      <c r="F17" s="132"/>
      <c r="G17" s="133"/>
      <c r="H17" s="137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e">
        <f t="shared" si="3"/>
        <v>#N/A</v>
      </c>
    </row>
    <row r="18" spans="1:14" ht="45" customHeight="1">
      <c r="A18" s="138"/>
      <c r="B18" s="129"/>
      <c r="C18" s="139"/>
      <c r="D18" s="131"/>
      <c r="E18" s="124"/>
      <c r="F18" s="132"/>
      <c r="G18" s="133"/>
      <c r="H18" s="140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e">
        <f t="shared" si="3"/>
        <v>#N/A</v>
      </c>
    </row>
    <row r="19" spans="1:14" ht="45" customHeight="1">
      <c r="A19" s="135"/>
      <c r="B19" s="129"/>
      <c r="C19" s="136"/>
      <c r="D19" s="131"/>
      <c r="E19" s="124"/>
      <c r="F19" s="132"/>
      <c r="G19" s="133"/>
      <c r="H19" s="137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e">
        <f t="shared" si="3"/>
        <v>#N/A</v>
      </c>
    </row>
    <row r="20" spans="1:14" ht="45" customHeight="1">
      <c r="A20" s="135"/>
      <c r="B20" s="129"/>
      <c r="C20" s="136"/>
      <c r="D20" s="131"/>
      <c r="E20" s="124"/>
      <c r="F20" s="132"/>
      <c r="G20" s="133"/>
      <c r="H20" s="137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e">
        <f t="shared" si="3"/>
        <v>#N/A</v>
      </c>
    </row>
    <row r="21" spans="1:14" ht="45" customHeight="1">
      <c r="A21" s="135"/>
      <c r="B21" s="129"/>
      <c r="C21" s="136"/>
      <c r="D21" s="131"/>
      <c r="E21" s="124"/>
      <c r="F21" s="132"/>
      <c r="G21" s="133"/>
      <c r="H21" s="137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e">
        <f t="shared" si="3"/>
        <v>#N/A</v>
      </c>
    </row>
    <row r="22" spans="1:14" ht="45" customHeight="1">
      <c r="A22" s="135"/>
      <c r="B22" s="129"/>
      <c r="C22" s="136"/>
      <c r="D22" s="131"/>
      <c r="E22" s="124"/>
      <c r="F22" s="132"/>
      <c r="G22" s="133"/>
      <c r="H22" s="137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e">
        <f t="shared" si="3"/>
        <v>#N/A</v>
      </c>
    </row>
    <row r="23" spans="1:14" ht="45" customHeight="1">
      <c r="A23" s="135"/>
      <c r="B23" s="129"/>
      <c r="C23" s="136"/>
      <c r="D23" s="131"/>
      <c r="E23" s="124"/>
      <c r="F23" s="132"/>
      <c r="G23" s="133"/>
      <c r="H23" s="137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e">
        <f t="shared" si="3"/>
        <v>#N/A</v>
      </c>
    </row>
    <row r="24" spans="1:14" ht="45" customHeight="1">
      <c r="A24" s="135"/>
      <c r="B24" s="129"/>
      <c r="C24" s="136"/>
      <c r="D24" s="131"/>
      <c r="E24" s="124"/>
      <c r="F24" s="132"/>
      <c r="G24" s="133"/>
      <c r="H24" s="137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e">
        <f t="shared" si="3"/>
        <v>#N/A</v>
      </c>
    </row>
    <row r="25" spans="1:14" ht="45" customHeight="1">
      <c r="A25" s="135"/>
      <c r="B25" s="129"/>
      <c r="C25" s="136"/>
      <c r="D25" s="131"/>
      <c r="E25" s="124"/>
      <c r="F25" s="132"/>
      <c r="G25" s="133"/>
      <c r="H25" s="137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e">
        <f t="shared" si="3"/>
        <v>#N/A</v>
      </c>
    </row>
    <row r="26" spans="1:14" ht="45" customHeight="1">
      <c r="A26" s="135"/>
      <c r="B26" s="129"/>
      <c r="C26" s="136"/>
      <c r="D26" s="131"/>
      <c r="E26" s="124"/>
      <c r="F26" s="132"/>
      <c r="G26" s="133"/>
      <c r="H26" s="137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e">
        <f t="shared" si="3"/>
        <v>#N/A</v>
      </c>
    </row>
    <row r="27" spans="1:14" ht="45" customHeight="1">
      <c r="A27" s="135"/>
      <c r="B27" s="129"/>
      <c r="C27" s="136"/>
      <c r="D27" s="131"/>
      <c r="E27" s="124"/>
      <c r="F27" s="132"/>
      <c r="G27" s="133"/>
      <c r="H27" s="137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e">
        <f t="shared" si="3"/>
        <v>#N/A</v>
      </c>
    </row>
    <row r="28" spans="1:14" ht="45" customHeight="1">
      <c r="A28" s="135"/>
      <c r="B28" s="129"/>
      <c r="C28" s="136"/>
      <c r="D28" s="131"/>
      <c r="E28" s="124"/>
      <c r="F28" s="132"/>
      <c r="G28" s="133"/>
      <c r="H28" s="137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e">
        <f t="shared" si="3"/>
        <v>#N/A</v>
      </c>
    </row>
    <row r="29" spans="1:14" ht="45" customHeight="1">
      <c r="A29" s="135"/>
      <c r="B29" s="129"/>
      <c r="C29" s="136"/>
      <c r="D29" s="131"/>
      <c r="E29" s="124"/>
      <c r="F29" s="132"/>
      <c r="G29" s="133"/>
      <c r="H29" s="137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e">
        <f t="shared" si="3"/>
        <v>#N/A</v>
      </c>
    </row>
    <row r="30" spans="1:14" ht="45" customHeight="1">
      <c r="A30" s="135"/>
      <c r="B30" s="129"/>
      <c r="C30" s="136"/>
      <c r="D30" s="131"/>
      <c r="E30" s="124"/>
      <c r="F30" s="132"/>
      <c r="G30" s="133"/>
      <c r="H30" s="137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e">
        <f t="shared" si="3"/>
        <v>#N/A</v>
      </c>
    </row>
    <row r="31" spans="1:14" ht="45" customHeight="1">
      <c r="A31" s="135"/>
      <c r="B31" s="129"/>
      <c r="C31" s="136"/>
      <c r="D31" s="131"/>
      <c r="E31" s="124"/>
      <c r="F31" s="132"/>
      <c r="G31" s="133"/>
      <c r="H31" s="137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e">
        <f t="shared" si="3"/>
        <v>#N/A</v>
      </c>
    </row>
    <row r="32" spans="1:14" ht="45" customHeight="1">
      <c r="A32" s="135"/>
      <c r="B32" s="129"/>
      <c r="C32" s="136"/>
      <c r="D32" s="131"/>
      <c r="E32" s="124"/>
      <c r="F32" s="132"/>
      <c r="G32" s="133"/>
      <c r="H32" s="137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e">
        <f t="shared" si="3"/>
        <v>#N/A</v>
      </c>
    </row>
    <row r="33" spans="1:14" ht="45" customHeight="1">
      <c r="A33" s="135"/>
      <c r="B33" s="129"/>
      <c r="C33" s="136"/>
      <c r="D33" s="131"/>
      <c r="E33" s="124"/>
      <c r="F33" s="132"/>
      <c r="G33" s="133"/>
      <c r="H33" s="137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e">
        <f t="shared" si="3"/>
        <v>#N/A</v>
      </c>
    </row>
    <row r="34" spans="1:14" ht="45" customHeight="1">
      <c r="A34" s="135"/>
      <c r="B34" s="129"/>
      <c r="C34" s="136"/>
      <c r="D34" s="131"/>
      <c r="E34" s="126"/>
      <c r="F34" s="132"/>
      <c r="G34" s="133"/>
      <c r="H34" s="137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e">
        <f t="shared" si="3"/>
        <v>#N/A</v>
      </c>
    </row>
    <row r="35" spans="1:14" ht="45" customHeight="1">
      <c r="A35" s="135"/>
      <c r="B35" s="129"/>
      <c r="C35" s="136"/>
      <c r="D35" s="131"/>
      <c r="E35" s="126"/>
      <c r="F35" s="132"/>
      <c r="G35" s="133"/>
      <c r="H35" s="137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e">
        <f t="shared" si="3"/>
        <v>#N/A</v>
      </c>
    </row>
    <row r="36" spans="1:14" ht="45" customHeight="1">
      <c r="A36" s="135"/>
      <c r="B36" s="129"/>
      <c r="C36" s="136"/>
      <c r="D36" s="131"/>
      <c r="E36" s="126"/>
      <c r="F36" s="132"/>
      <c r="G36" s="133"/>
      <c r="H36" s="137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e">
        <f t="shared" si="3"/>
        <v>#N/A</v>
      </c>
    </row>
    <row r="37" spans="1:14" ht="45" customHeight="1">
      <c r="A37" s="135"/>
      <c r="B37" s="129"/>
      <c r="C37" s="136"/>
      <c r="D37" s="131"/>
      <c r="E37" s="126"/>
      <c r="F37" s="132"/>
      <c r="G37" s="133"/>
      <c r="H37" s="137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e">
        <f t="shared" si="3"/>
        <v>#N/A</v>
      </c>
    </row>
    <row r="38" spans="1:14" ht="45" customHeight="1">
      <c r="A38" s="135"/>
      <c r="B38" s="129"/>
      <c r="C38" s="136"/>
      <c r="D38" s="131"/>
      <c r="E38" s="126"/>
      <c r="F38" s="132"/>
      <c r="G38" s="133"/>
      <c r="H38" s="137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e">
        <f t="shared" si="3"/>
        <v>#N/A</v>
      </c>
    </row>
    <row r="39" spans="1:14" ht="45" customHeight="1">
      <c r="A39" s="135"/>
      <c r="B39" s="129"/>
      <c r="C39" s="136"/>
      <c r="D39" s="131"/>
      <c r="E39" s="126"/>
      <c r="F39" s="132"/>
      <c r="G39" s="133"/>
      <c r="H39" s="137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e">
        <f t="shared" si="3"/>
        <v>#N/A</v>
      </c>
    </row>
    <row r="40" spans="1:14" ht="45" customHeight="1">
      <c r="A40" s="135"/>
      <c r="B40" s="129"/>
      <c r="C40" s="136"/>
      <c r="D40" s="131"/>
      <c r="E40" s="126"/>
      <c r="F40" s="132"/>
      <c r="G40" s="133"/>
      <c r="H40" s="137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e">
        <f t="shared" si="3"/>
        <v>#N/A</v>
      </c>
    </row>
    <row r="41" spans="1:14" ht="45" customHeight="1">
      <c r="A41" s="135"/>
      <c r="B41" s="129"/>
      <c r="C41" s="136"/>
      <c r="D41" s="131"/>
      <c r="E41" s="126"/>
      <c r="F41" s="132"/>
      <c r="G41" s="133"/>
      <c r="H41" s="137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e">
        <f t="shared" si="3"/>
        <v>#N/A</v>
      </c>
    </row>
    <row r="42" spans="1:14" ht="45" customHeight="1">
      <c r="A42" s="135"/>
      <c r="B42" s="129"/>
      <c r="C42" s="136"/>
      <c r="D42" s="131"/>
      <c r="E42" s="126"/>
      <c r="F42" s="132"/>
      <c r="G42" s="133"/>
      <c r="H42" s="137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e">
        <f t="shared" si="3"/>
        <v>#N/A</v>
      </c>
    </row>
    <row r="43" spans="1:14" ht="45" customHeight="1">
      <c r="A43" s="135"/>
      <c r="B43" s="129"/>
      <c r="C43" s="136"/>
      <c r="D43" s="131"/>
      <c r="E43" s="126"/>
      <c r="F43" s="132"/>
      <c r="G43" s="133"/>
      <c r="H43" s="137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e">
        <f t="shared" si="3"/>
        <v>#N/A</v>
      </c>
    </row>
    <row r="44" spans="1:14" ht="45" customHeight="1">
      <c r="A44" s="135"/>
      <c r="B44" s="129"/>
      <c r="C44" s="136"/>
      <c r="D44" s="131"/>
      <c r="E44" s="126"/>
      <c r="F44" s="132"/>
      <c r="G44" s="133"/>
      <c r="H44" s="137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e">
        <f t="shared" si="3"/>
        <v>#N/A</v>
      </c>
    </row>
    <row r="45" spans="1:14" ht="45" customHeight="1">
      <c r="A45" s="135"/>
      <c r="B45" s="129"/>
      <c r="C45" s="136"/>
      <c r="D45" s="131"/>
      <c r="E45" s="126"/>
      <c r="F45" s="132"/>
      <c r="G45" s="133"/>
      <c r="H45" s="137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e">
        <f t="shared" si="3"/>
        <v>#N/A</v>
      </c>
    </row>
    <row r="46" spans="1:14" ht="45" customHeight="1">
      <c r="A46" s="135"/>
      <c r="B46" s="129"/>
      <c r="C46" s="136"/>
      <c r="D46" s="131"/>
      <c r="E46" s="126"/>
      <c r="F46" s="132"/>
      <c r="G46" s="133"/>
      <c r="H46" s="137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e">
        <f t="shared" si="3"/>
        <v>#N/A</v>
      </c>
    </row>
    <row r="47" spans="1:14" ht="45" customHeight="1">
      <c r="A47" s="135"/>
      <c r="B47" s="129"/>
      <c r="C47" s="136"/>
      <c r="D47" s="131"/>
      <c r="E47" s="126"/>
      <c r="F47" s="132"/>
      <c r="G47" s="133"/>
      <c r="H47" s="137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e">
        <f t="shared" si="3"/>
        <v>#N/A</v>
      </c>
    </row>
    <row r="48" spans="1:14" ht="45" customHeight="1">
      <c r="A48" s="135"/>
      <c r="B48" s="129"/>
      <c r="C48" s="136"/>
      <c r="D48" s="131"/>
      <c r="E48" s="126"/>
      <c r="F48" s="132"/>
      <c r="G48" s="133"/>
      <c r="H48" s="137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e">
        <f t="shared" si="3"/>
        <v>#N/A</v>
      </c>
    </row>
    <row r="49" spans="1:14" ht="45" customHeight="1">
      <c r="A49" s="135"/>
      <c r="B49" s="129"/>
      <c r="C49" s="136"/>
      <c r="D49" s="131"/>
      <c r="E49" s="126"/>
      <c r="F49" s="132"/>
      <c r="G49" s="133"/>
      <c r="H49" s="137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e">
        <f t="shared" si="3"/>
        <v>#N/A</v>
      </c>
    </row>
    <row r="50" spans="1:14" ht="45" customHeight="1">
      <c r="A50" s="135"/>
      <c r="B50" s="129"/>
      <c r="C50" s="136"/>
      <c r="D50" s="131"/>
      <c r="E50" s="126"/>
      <c r="F50" s="132"/>
      <c r="G50" s="133"/>
      <c r="H50" s="137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e">
        <f t="shared" si="3"/>
        <v>#N/A</v>
      </c>
    </row>
    <row r="51" spans="1:14" ht="45" customHeight="1">
      <c r="A51" s="135"/>
      <c r="B51" s="129"/>
      <c r="C51" s="136"/>
      <c r="D51" s="131"/>
      <c r="E51" s="126"/>
      <c r="F51" s="132"/>
      <c r="G51" s="133"/>
      <c r="H51" s="137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e">
        <f t="shared" si="3"/>
        <v>#N/A</v>
      </c>
    </row>
    <row r="52" spans="1:14" ht="45" customHeight="1">
      <c r="A52" s="135"/>
      <c r="B52" s="129"/>
      <c r="C52" s="136"/>
      <c r="D52" s="131"/>
      <c r="E52" s="126"/>
      <c r="F52" s="132"/>
      <c r="G52" s="133"/>
      <c r="H52" s="137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e">
        <f t="shared" si="3"/>
        <v>#N/A</v>
      </c>
    </row>
    <row r="53" spans="1:14" ht="45" customHeight="1">
      <c r="A53" s="135"/>
      <c r="B53" s="129"/>
      <c r="C53" s="136"/>
      <c r="D53" s="131"/>
      <c r="E53" s="126"/>
      <c r="F53" s="132"/>
      <c r="G53" s="133"/>
      <c r="H53" s="137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e">
        <f t="shared" si="3"/>
        <v>#N/A</v>
      </c>
    </row>
    <row r="54" spans="1:14" ht="45" customHeight="1">
      <c r="A54" s="135"/>
      <c r="B54" s="129"/>
      <c r="C54" s="136"/>
      <c r="D54" s="131"/>
      <c r="E54" s="126"/>
      <c r="F54" s="132"/>
      <c r="G54" s="133"/>
      <c r="H54" s="137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e">
        <f t="shared" si="3"/>
        <v>#N/A</v>
      </c>
    </row>
    <row r="55" spans="1:14" ht="45" customHeight="1">
      <c r="A55" s="135"/>
      <c r="B55" s="129"/>
      <c r="C55" s="136"/>
      <c r="D55" s="131"/>
      <c r="E55" s="126"/>
      <c r="F55" s="132"/>
      <c r="G55" s="133"/>
      <c r="H55" s="137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e">
        <f t="shared" si="3"/>
        <v>#N/A</v>
      </c>
    </row>
    <row r="56" spans="1:14" ht="45" customHeight="1">
      <c r="A56" s="135"/>
      <c r="B56" s="129"/>
      <c r="C56" s="136"/>
      <c r="D56" s="131"/>
      <c r="E56" s="126"/>
      <c r="F56" s="132"/>
      <c r="G56" s="133"/>
      <c r="H56" s="137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e">
        <f t="shared" si="3"/>
        <v>#N/A</v>
      </c>
    </row>
    <row r="57" spans="1:14" ht="45" customHeight="1">
      <c r="A57" s="135"/>
      <c r="B57" s="129"/>
      <c r="C57" s="136"/>
      <c r="D57" s="131"/>
      <c r="E57" s="126"/>
      <c r="F57" s="132"/>
      <c r="G57" s="133"/>
      <c r="H57" s="137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e">
        <f t="shared" si="3"/>
        <v>#N/A</v>
      </c>
    </row>
    <row r="58" spans="1:14" ht="45" customHeight="1">
      <c r="A58" s="135"/>
      <c r="B58" s="129"/>
      <c r="C58" s="136"/>
      <c r="D58" s="131"/>
      <c r="E58" s="126"/>
      <c r="F58" s="132"/>
      <c r="G58" s="133"/>
      <c r="H58" s="137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e">
        <f t="shared" si="3"/>
        <v>#N/A</v>
      </c>
    </row>
    <row r="59" spans="1:14" ht="45" customHeight="1">
      <c r="A59" s="135"/>
      <c r="B59" s="129"/>
      <c r="C59" s="136"/>
      <c r="D59" s="131"/>
      <c r="E59" s="126"/>
      <c r="F59" s="132"/>
      <c r="G59" s="133"/>
      <c r="H59" s="137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e">
        <f t="shared" si="3"/>
        <v>#N/A</v>
      </c>
    </row>
    <row r="60" spans="1:14" ht="45" customHeight="1">
      <c r="A60" s="135"/>
      <c r="B60" s="129"/>
      <c r="C60" s="136"/>
      <c r="D60" s="131"/>
      <c r="E60" s="126"/>
      <c r="F60" s="132"/>
      <c r="G60" s="133"/>
      <c r="H60" s="137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e">
        <f t="shared" si="3"/>
        <v>#N/A</v>
      </c>
    </row>
    <row r="61" spans="1:14" ht="45" customHeight="1">
      <c r="A61" s="135"/>
      <c r="B61" s="129"/>
      <c r="C61" s="136"/>
      <c r="D61" s="131"/>
      <c r="E61" s="126"/>
      <c r="F61" s="132"/>
      <c r="G61" s="133"/>
      <c r="H61" s="137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e">
        <f t="shared" si="3"/>
        <v>#N/A</v>
      </c>
    </row>
    <row r="62" spans="1:14" ht="45" customHeight="1">
      <c r="A62" s="135"/>
      <c r="B62" s="129"/>
      <c r="C62" s="136"/>
      <c r="D62" s="131"/>
      <c r="E62" s="126"/>
      <c r="F62" s="132"/>
      <c r="G62" s="133"/>
      <c r="H62" s="137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e">
        <f t="shared" si="3"/>
        <v>#N/A</v>
      </c>
    </row>
    <row r="63" spans="1:14" ht="45" customHeight="1">
      <c r="A63" s="135"/>
      <c r="B63" s="129"/>
      <c r="C63" s="136"/>
      <c r="D63" s="131"/>
      <c r="E63" s="126"/>
      <c r="F63" s="132"/>
      <c r="G63" s="133"/>
      <c r="H63" s="137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e">
        <f t="shared" si="3"/>
        <v>#N/A</v>
      </c>
    </row>
    <row r="64" spans="1:14" ht="45" customHeight="1">
      <c r="A64" s="135"/>
      <c r="B64" s="129"/>
      <c r="C64" s="136"/>
      <c r="D64" s="131"/>
      <c r="E64" s="126"/>
      <c r="F64" s="132"/>
      <c r="G64" s="133"/>
      <c r="H64" s="137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e">
        <f t="shared" si="3"/>
        <v>#N/A</v>
      </c>
    </row>
    <row r="65" spans="1:14" ht="45" customHeight="1">
      <c r="A65" s="135"/>
      <c r="B65" s="129"/>
      <c r="C65" s="136"/>
      <c r="D65" s="131"/>
      <c r="E65" s="126"/>
      <c r="F65" s="132"/>
      <c r="G65" s="133"/>
      <c r="H65" s="137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e">
        <f t="shared" si="3"/>
        <v>#N/A</v>
      </c>
    </row>
    <row r="66" spans="1:14" ht="45" customHeight="1">
      <c r="A66" s="135"/>
      <c r="B66" s="129"/>
      <c r="C66" s="136"/>
      <c r="D66" s="131"/>
      <c r="E66" s="126"/>
      <c r="F66" s="132"/>
      <c r="G66" s="133"/>
      <c r="H66" s="137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e">
        <f t="shared" si="3"/>
        <v>#N/A</v>
      </c>
    </row>
    <row r="67" spans="1:14" ht="45" customHeight="1">
      <c r="A67" s="135"/>
      <c r="B67" s="129"/>
      <c r="C67" s="136"/>
      <c r="D67" s="131"/>
      <c r="E67" s="126"/>
      <c r="F67" s="132"/>
      <c r="G67" s="133"/>
      <c r="H67" s="137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e">
        <f t="shared" si="3"/>
        <v>#N/A</v>
      </c>
    </row>
    <row r="68" spans="1:14" ht="45" customHeight="1">
      <c r="A68" s="135"/>
      <c r="B68" s="129"/>
      <c r="C68" s="136"/>
      <c r="D68" s="131"/>
      <c r="E68" s="126"/>
      <c r="F68" s="132"/>
      <c r="G68" s="133"/>
      <c r="H68" s="137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e">
        <f t="shared" ref="N68:N131" si="8">AND($M$1="Flat Rate",M68="Staff_Costs")</f>
        <v>#N/A</v>
      </c>
    </row>
    <row r="69" spans="1:14" ht="45" customHeight="1">
      <c r="A69" s="135"/>
      <c r="B69" s="129"/>
      <c r="C69" s="136"/>
      <c r="D69" s="131"/>
      <c r="E69" s="126"/>
      <c r="F69" s="132"/>
      <c r="G69" s="133"/>
      <c r="H69" s="137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e">
        <f t="shared" si="8"/>
        <v>#N/A</v>
      </c>
    </row>
    <row r="70" spans="1:14" ht="45" customHeight="1">
      <c r="A70" s="135"/>
      <c r="B70" s="129"/>
      <c r="C70" s="136"/>
      <c r="D70" s="131"/>
      <c r="E70" s="126"/>
      <c r="F70" s="132"/>
      <c r="G70" s="133"/>
      <c r="H70" s="137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e">
        <f t="shared" si="8"/>
        <v>#N/A</v>
      </c>
    </row>
    <row r="71" spans="1:14" ht="45" customHeight="1">
      <c r="A71" s="135"/>
      <c r="B71" s="129"/>
      <c r="C71" s="136"/>
      <c r="D71" s="131"/>
      <c r="E71" s="126"/>
      <c r="F71" s="132"/>
      <c r="G71" s="133"/>
      <c r="H71" s="137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e">
        <f t="shared" si="8"/>
        <v>#N/A</v>
      </c>
    </row>
    <row r="72" spans="1:14" ht="45" customHeight="1">
      <c r="A72" s="135"/>
      <c r="B72" s="129"/>
      <c r="C72" s="136"/>
      <c r="D72" s="131"/>
      <c r="E72" s="126"/>
      <c r="F72" s="132"/>
      <c r="G72" s="133"/>
      <c r="H72" s="137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e">
        <f t="shared" si="8"/>
        <v>#N/A</v>
      </c>
    </row>
    <row r="73" spans="1:14" ht="45" customHeight="1">
      <c r="A73" s="135"/>
      <c r="B73" s="129"/>
      <c r="C73" s="136"/>
      <c r="D73" s="131"/>
      <c r="E73" s="126"/>
      <c r="F73" s="132"/>
      <c r="G73" s="133"/>
      <c r="H73" s="137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e">
        <f t="shared" si="8"/>
        <v>#N/A</v>
      </c>
    </row>
    <row r="74" spans="1:14" ht="45" customHeight="1">
      <c r="A74" s="135"/>
      <c r="B74" s="129"/>
      <c r="C74" s="136"/>
      <c r="D74" s="131"/>
      <c r="E74" s="126"/>
      <c r="F74" s="132"/>
      <c r="G74" s="133"/>
      <c r="H74" s="137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e">
        <f t="shared" si="8"/>
        <v>#N/A</v>
      </c>
    </row>
    <row r="75" spans="1:14" ht="45" customHeight="1">
      <c r="A75" s="135"/>
      <c r="B75" s="129"/>
      <c r="C75" s="136"/>
      <c r="D75" s="131"/>
      <c r="E75" s="126"/>
      <c r="F75" s="132"/>
      <c r="G75" s="133"/>
      <c r="H75" s="137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e">
        <f t="shared" si="8"/>
        <v>#N/A</v>
      </c>
    </row>
    <row r="76" spans="1:14" ht="45" customHeight="1">
      <c r="A76" s="135"/>
      <c r="B76" s="129"/>
      <c r="C76" s="136"/>
      <c r="D76" s="131"/>
      <c r="E76" s="126"/>
      <c r="F76" s="132"/>
      <c r="G76" s="133"/>
      <c r="H76" s="137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e">
        <f t="shared" si="8"/>
        <v>#N/A</v>
      </c>
    </row>
    <row r="77" spans="1:14" ht="45" customHeight="1">
      <c r="A77" s="135"/>
      <c r="B77" s="129"/>
      <c r="C77" s="136"/>
      <c r="D77" s="131"/>
      <c r="E77" s="126"/>
      <c r="F77" s="132"/>
      <c r="G77" s="133"/>
      <c r="H77" s="137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e">
        <f t="shared" si="8"/>
        <v>#N/A</v>
      </c>
    </row>
    <row r="78" spans="1:14" ht="45" customHeight="1">
      <c r="A78" s="135"/>
      <c r="B78" s="129"/>
      <c r="C78" s="136"/>
      <c r="D78" s="131"/>
      <c r="E78" s="126"/>
      <c r="F78" s="132"/>
      <c r="G78" s="133"/>
      <c r="H78" s="137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e">
        <f t="shared" si="8"/>
        <v>#N/A</v>
      </c>
    </row>
    <row r="79" spans="1:14" ht="45" customHeight="1">
      <c r="A79" s="135"/>
      <c r="B79" s="129"/>
      <c r="C79" s="136"/>
      <c r="D79" s="131"/>
      <c r="E79" s="126"/>
      <c r="F79" s="132"/>
      <c r="G79" s="133"/>
      <c r="H79" s="137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e">
        <f t="shared" si="8"/>
        <v>#N/A</v>
      </c>
    </row>
    <row r="80" spans="1:14" ht="45" customHeight="1">
      <c r="A80" s="135"/>
      <c r="B80" s="129"/>
      <c r="C80" s="136"/>
      <c r="D80" s="131"/>
      <c r="E80" s="126"/>
      <c r="F80" s="132"/>
      <c r="G80" s="133"/>
      <c r="H80" s="137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e">
        <f t="shared" si="8"/>
        <v>#N/A</v>
      </c>
    </row>
    <row r="81" spans="1:14" ht="45" customHeight="1">
      <c r="A81" s="135"/>
      <c r="B81" s="129"/>
      <c r="C81" s="136"/>
      <c r="D81" s="131"/>
      <c r="E81" s="126"/>
      <c r="F81" s="132"/>
      <c r="G81" s="133"/>
      <c r="H81" s="137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e">
        <f t="shared" si="8"/>
        <v>#N/A</v>
      </c>
    </row>
    <row r="82" spans="1:14" ht="45" customHeight="1">
      <c r="A82" s="135"/>
      <c r="B82" s="129"/>
      <c r="C82" s="136"/>
      <c r="D82" s="131"/>
      <c r="E82" s="126"/>
      <c r="F82" s="132"/>
      <c r="G82" s="133"/>
      <c r="H82" s="137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e">
        <f t="shared" si="8"/>
        <v>#N/A</v>
      </c>
    </row>
    <row r="83" spans="1:14" ht="45" customHeight="1">
      <c r="A83" s="135"/>
      <c r="B83" s="129"/>
      <c r="C83" s="136"/>
      <c r="D83" s="131"/>
      <c r="E83" s="126"/>
      <c r="F83" s="132"/>
      <c r="G83" s="133"/>
      <c r="H83" s="137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e">
        <f t="shared" si="8"/>
        <v>#N/A</v>
      </c>
    </row>
    <row r="84" spans="1:14" ht="45" customHeight="1">
      <c r="A84" s="135"/>
      <c r="B84" s="129"/>
      <c r="C84" s="136"/>
      <c r="D84" s="131"/>
      <c r="E84" s="126"/>
      <c r="F84" s="132"/>
      <c r="G84" s="133"/>
      <c r="H84" s="137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e">
        <f t="shared" si="8"/>
        <v>#N/A</v>
      </c>
    </row>
    <row r="85" spans="1:14" ht="45" customHeight="1">
      <c r="A85" s="135"/>
      <c r="B85" s="129"/>
      <c r="C85" s="136"/>
      <c r="D85" s="131"/>
      <c r="E85" s="126"/>
      <c r="F85" s="132"/>
      <c r="G85" s="133"/>
      <c r="H85" s="137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e">
        <f t="shared" si="8"/>
        <v>#N/A</v>
      </c>
    </row>
    <row r="86" spans="1:14" ht="45" customHeight="1">
      <c r="A86" s="135"/>
      <c r="B86" s="129"/>
      <c r="C86" s="136"/>
      <c r="D86" s="131"/>
      <c r="E86" s="126"/>
      <c r="F86" s="132"/>
      <c r="G86" s="133"/>
      <c r="H86" s="137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e">
        <f t="shared" si="8"/>
        <v>#N/A</v>
      </c>
    </row>
    <row r="87" spans="1:14" ht="45" customHeight="1">
      <c r="A87" s="135"/>
      <c r="B87" s="129"/>
      <c r="C87" s="136"/>
      <c r="D87" s="131"/>
      <c r="E87" s="126"/>
      <c r="F87" s="132"/>
      <c r="G87" s="133"/>
      <c r="H87" s="137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e">
        <f t="shared" si="8"/>
        <v>#N/A</v>
      </c>
    </row>
    <row r="88" spans="1:14" ht="45" customHeight="1">
      <c r="A88" s="135"/>
      <c r="B88" s="129"/>
      <c r="C88" s="136"/>
      <c r="D88" s="131"/>
      <c r="E88" s="126"/>
      <c r="F88" s="132"/>
      <c r="G88" s="133"/>
      <c r="H88" s="137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e">
        <f t="shared" si="8"/>
        <v>#N/A</v>
      </c>
    </row>
    <row r="89" spans="1:14" ht="45" customHeight="1">
      <c r="A89" s="135"/>
      <c r="B89" s="129"/>
      <c r="C89" s="136"/>
      <c r="D89" s="131"/>
      <c r="E89" s="126"/>
      <c r="F89" s="132"/>
      <c r="G89" s="133"/>
      <c r="H89" s="137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e">
        <f t="shared" si="8"/>
        <v>#N/A</v>
      </c>
    </row>
    <row r="90" spans="1:14" ht="45" customHeight="1">
      <c r="A90" s="135"/>
      <c r="B90" s="129"/>
      <c r="C90" s="136"/>
      <c r="D90" s="131"/>
      <c r="E90" s="126"/>
      <c r="F90" s="132"/>
      <c r="G90" s="133"/>
      <c r="H90" s="137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e">
        <f t="shared" si="8"/>
        <v>#N/A</v>
      </c>
    </row>
    <row r="91" spans="1:14" ht="45" customHeight="1">
      <c r="A91" s="135"/>
      <c r="B91" s="129"/>
      <c r="C91" s="136"/>
      <c r="D91" s="131"/>
      <c r="E91" s="126"/>
      <c r="F91" s="132"/>
      <c r="G91" s="133"/>
      <c r="H91" s="137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e">
        <f t="shared" si="8"/>
        <v>#N/A</v>
      </c>
    </row>
    <row r="92" spans="1:14" ht="45" customHeight="1">
      <c r="A92" s="135"/>
      <c r="B92" s="129"/>
      <c r="C92" s="136"/>
      <c r="D92" s="131"/>
      <c r="E92" s="126"/>
      <c r="F92" s="132"/>
      <c r="G92" s="133"/>
      <c r="H92" s="137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e">
        <f t="shared" si="8"/>
        <v>#N/A</v>
      </c>
    </row>
    <row r="93" spans="1:14" ht="45" customHeight="1">
      <c r="A93" s="135"/>
      <c r="B93" s="129"/>
      <c r="C93" s="136"/>
      <c r="D93" s="131"/>
      <c r="E93" s="126"/>
      <c r="F93" s="132"/>
      <c r="G93" s="133"/>
      <c r="H93" s="137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e">
        <f t="shared" si="8"/>
        <v>#N/A</v>
      </c>
    </row>
    <row r="94" spans="1:14" ht="45" customHeight="1">
      <c r="A94" s="135"/>
      <c r="B94" s="129"/>
      <c r="C94" s="136"/>
      <c r="D94" s="131"/>
      <c r="E94" s="126"/>
      <c r="F94" s="132"/>
      <c r="G94" s="133"/>
      <c r="H94" s="137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e">
        <f t="shared" si="8"/>
        <v>#N/A</v>
      </c>
    </row>
    <row r="95" spans="1:14" ht="45" customHeight="1">
      <c r="A95" s="135"/>
      <c r="B95" s="129"/>
      <c r="C95" s="136"/>
      <c r="D95" s="131"/>
      <c r="E95" s="126"/>
      <c r="F95" s="132"/>
      <c r="G95" s="133"/>
      <c r="H95" s="137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e">
        <f t="shared" si="8"/>
        <v>#N/A</v>
      </c>
    </row>
    <row r="96" spans="1:14" ht="45" customHeight="1">
      <c r="A96" s="135"/>
      <c r="B96" s="129"/>
      <c r="C96" s="136"/>
      <c r="D96" s="131"/>
      <c r="E96" s="126"/>
      <c r="F96" s="132"/>
      <c r="G96" s="133"/>
      <c r="H96" s="137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e">
        <f t="shared" si="8"/>
        <v>#N/A</v>
      </c>
    </row>
    <row r="97" spans="1:14" ht="45" customHeight="1">
      <c r="A97" s="135"/>
      <c r="B97" s="129"/>
      <c r="C97" s="136"/>
      <c r="D97" s="131"/>
      <c r="E97" s="126"/>
      <c r="F97" s="132"/>
      <c r="G97" s="133"/>
      <c r="H97" s="137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e">
        <f t="shared" si="8"/>
        <v>#N/A</v>
      </c>
    </row>
    <row r="98" spans="1:14" ht="45" customHeight="1">
      <c r="A98" s="135"/>
      <c r="B98" s="129"/>
      <c r="C98" s="136"/>
      <c r="D98" s="131"/>
      <c r="E98" s="126"/>
      <c r="F98" s="132"/>
      <c r="G98" s="133"/>
      <c r="H98" s="137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e">
        <f t="shared" si="8"/>
        <v>#N/A</v>
      </c>
    </row>
    <row r="99" spans="1:14" ht="45" customHeight="1">
      <c r="A99" s="135"/>
      <c r="B99" s="129"/>
      <c r="C99" s="136"/>
      <c r="D99" s="131"/>
      <c r="E99" s="126"/>
      <c r="F99" s="132"/>
      <c r="G99" s="133"/>
      <c r="H99" s="137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e">
        <f t="shared" si="8"/>
        <v>#N/A</v>
      </c>
    </row>
    <row r="100" spans="1:14" ht="45" customHeight="1">
      <c r="A100" s="135"/>
      <c r="B100" s="129"/>
      <c r="C100" s="136"/>
      <c r="D100" s="131"/>
      <c r="E100" s="126"/>
      <c r="F100" s="132"/>
      <c r="G100" s="133"/>
      <c r="H100" s="137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e">
        <f t="shared" si="8"/>
        <v>#N/A</v>
      </c>
    </row>
    <row r="101" spans="1:14" ht="45" customHeight="1">
      <c r="A101" s="135"/>
      <c r="B101" s="129"/>
      <c r="C101" s="136"/>
      <c r="D101" s="131"/>
      <c r="E101" s="126"/>
      <c r="F101" s="132"/>
      <c r="G101" s="133"/>
      <c r="H101" s="137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e">
        <f t="shared" si="8"/>
        <v>#N/A</v>
      </c>
    </row>
    <row r="102" spans="1:14" ht="45" customHeight="1">
      <c r="A102" s="135"/>
      <c r="B102" s="129"/>
      <c r="C102" s="136"/>
      <c r="D102" s="131"/>
      <c r="E102" s="126"/>
      <c r="F102" s="132"/>
      <c r="G102" s="133"/>
      <c r="H102" s="137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e">
        <f t="shared" si="8"/>
        <v>#N/A</v>
      </c>
    </row>
    <row r="103" spans="1:14" ht="45" customHeight="1">
      <c r="A103" s="135"/>
      <c r="B103" s="129"/>
      <c r="C103" s="136"/>
      <c r="D103" s="131"/>
      <c r="E103" s="126"/>
      <c r="F103" s="132"/>
      <c r="G103" s="133"/>
      <c r="H103" s="137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e">
        <f t="shared" si="8"/>
        <v>#N/A</v>
      </c>
    </row>
    <row r="104" spans="1:14" ht="45" customHeight="1">
      <c r="A104" s="135"/>
      <c r="B104" s="129"/>
      <c r="C104" s="136"/>
      <c r="D104" s="131"/>
      <c r="E104" s="126"/>
      <c r="F104" s="132"/>
      <c r="G104" s="133"/>
      <c r="H104" s="137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e">
        <f t="shared" si="8"/>
        <v>#N/A</v>
      </c>
    </row>
    <row r="105" spans="1:14" ht="45" customHeight="1">
      <c r="A105" s="135"/>
      <c r="B105" s="129"/>
      <c r="C105" s="136"/>
      <c r="D105" s="131"/>
      <c r="E105" s="126"/>
      <c r="F105" s="132"/>
      <c r="G105" s="133"/>
      <c r="H105" s="137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e">
        <f t="shared" si="8"/>
        <v>#N/A</v>
      </c>
    </row>
    <row r="106" spans="1:14" ht="45" customHeight="1">
      <c r="A106" s="135"/>
      <c r="B106" s="129"/>
      <c r="C106" s="136"/>
      <c r="D106" s="131"/>
      <c r="E106" s="126"/>
      <c r="F106" s="132"/>
      <c r="G106" s="133"/>
      <c r="H106" s="137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e">
        <f t="shared" si="8"/>
        <v>#N/A</v>
      </c>
    </row>
    <row r="107" spans="1:14" ht="45" customHeight="1">
      <c r="A107" s="135"/>
      <c r="B107" s="129"/>
      <c r="C107" s="136"/>
      <c r="D107" s="131"/>
      <c r="E107" s="126"/>
      <c r="F107" s="132"/>
      <c r="G107" s="133"/>
      <c r="H107" s="137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e">
        <f t="shared" si="8"/>
        <v>#N/A</v>
      </c>
    </row>
    <row r="108" spans="1:14" ht="45" customHeight="1">
      <c r="A108" s="135"/>
      <c r="B108" s="129"/>
      <c r="C108" s="136"/>
      <c r="D108" s="131"/>
      <c r="E108" s="126"/>
      <c r="F108" s="132"/>
      <c r="G108" s="133"/>
      <c r="H108" s="137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e">
        <f t="shared" si="8"/>
        <v>#N/A</v>
      </c>
    </row>
    <row r="109" spans="1:14" ht="45" customHeight="1">
      <c r="A109" s="135"/>
      <c r="B109" s="129"/>
      <c r="C109" s="136"/>
      <c r="D109" s="131"/>
      <c r="E109" s="126"/>
      <c r="F109" s="132"/>
      <c r="G109" s="133"/>
      <c r="H109" s="137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e">
        <f t="shared" si="8"/>
        <v>#N/A</v>
      </c>
    </row>
    <row r="110" spans="1:14" ht="45" customHeight="1">
      <c r="A110" s="135"/>
      <c r="B110" s="129"/>
      <c r="C110" s="136"/>
      <c r="D110" s="131"/>
      <c r="E110" s="126"/>
      <c r="F110" s="132"/>
      <c r="G110" s="133"/>
      <c r="H110" s="137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e">
        <f t="shared" si="8"/>
        <v>#N/A</v>
      </c>
    </row>
    <row r="111" spans="1:14" ht="45" customHeight="1">
      <c r="A111" s="135"/>
      <c r="B111" s="129"/>
      <c r="C111" s="136"/>
      <c r="D111" s="131"/>
      <c r="E111" s="126"/>
      <c r="F111" s="132"/>
      <c r="G111" s="133"/>
      <c r="H111" s="137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e">
        <f t="shared" si="8"/>
        <v>#N/A</v>
      </c>
    </row>
    <row r="112" spans="1:14" ht="45" customHeight="1">
      <c r="A112" s="135"/>
      <c r="B112" s="129"/>
      <c r="C112" s="136"/>
      <c r="D112" s="131"/>
      <c r="E112" s="126"/>
      <c r="F112" s="132"/>
      <c r="G112" s="133"/>
      <c r="H112" s="137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e">
        <f t="shared" si="8"/>
        <v>#N/A</v>
      </c>
    </row>
    <row r="113" spans="1:14" ht="45" customHeight="1">
      <c r="A113" s="135"/>
      <c r="B113" s="129"/>
      <c r="C113" s="136"/>
      <c r="D113" s="131"/>
      <c r="E113" s="126"/>
      <c r="F113" s="132"/>
      <c r="G113" s="133"/>
      <c r="H113" s="137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e">
        <f t="shared" si="8"/>
        <v>#N/A</v>
      </c>
    </row>
    <row r="114" spans="1:14" ht="45" customHeight="1">
      <c r="A114" s="135"/>
      <c r="B114" s="129"/>
      <c r="C114" s="136"/>
      <c r="D114" s="131"/>
      <c r="E114" s="126"/>
      <c r="F114" s="132"/>
      <c r="G114" s="133"/>
      <c r="H114" s="137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e">
        <f t="shared" si="8"/>
        <v>#N/A</v>
      </c>
    </row>
    <row r="115" spans="1:14" ht="45" customHeight="1">
      <c r="A115" s="135"/>
      <c r="B115" s="129"/>
      <c r="C115" s="136"/>
      <c r="D115" s="131"/>
      <c r="E115" s="126"/>
      <c r="F115" s="132"/>
      <c r="G115" s="133"/>
      <c r="H115" s="137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e">
        <f t="shared" si="8"/>
        <v>#N/A</v>
      </c>
    </row>
    <row r="116" spans="1:14" ht="45" customHeight="1">
      <c r="A116" s="135"/>
      <c r="B116" s="129"/>
      <c r="C116" s="136"/>
      <c r="D116" s="131"/>
      <c r="E116" s="126"/>
      <c r="F116" s="132"/>
      <c r="G116" s="133"/>
      <c r="H116" s="137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e">
        <f t="shared" si="8"/>
        <v>#N/A</v>
      </c>
    </row>
    <row r="117" spans="1:14" ht="45" customHeight="1">
      <c r="A117" s="135"/>
      <c r="B117" s="129"/>
      <c r="C117" s="136"/>
      <c r="D117" s="131"/>
      <c r="E117" s="126"/>
      <c r="F117" s="132"/>
      <c r="G117" s="133"/>
      <c r="H117" s="137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e">
        <f t="shared" si="8"/>
        <v>#N/A</v>
      </c>
    </row>
    <row r="118" spans="1:14" ht="45" customHeight="1">
      <c r="A118" s="135"/>
      <c r="B118" s="129"/>
      <c r="C118" s="136"/>
      <c r="D118" s="131"/>
      <c r="E118" s="126"/>
      <c r="F118" s="132"/>
      <c r="G118" s="133"/>
      <c r="H118" s="137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e">
        <f t="shared" si="8"/>
        <v>#N/A</v>
      </c>
    </row>
    <row r="119" spans="1:14" ht="45" customHeight="1">
      <c r="A119" s="135"/>
      <c r="B119" s="129"/>
      <c r="C119" s="136"/>
      <c r="D119" s="131"/>
      <c r="E119" s="126"/>
      <c r="F119" s="132"/>
      <c r="G119" s="133"/>
      <c r="H119" s="137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e">
        <f t="shared" si="8"/>
        <v>#N/A</v>
      </c>
    </row>
    <row r="120" spans="1:14" ht="45" customHeight="1">
      <c r="A120" s="135"/>
      <c r="B120" s="129"/>
      <c r="C120" s="136"/>
      <c r="D120" s="131"/>
      <c r="E120" s="126"/>
      <c r="F120" s="132"/>
      <c r="G120" s="133"/>
      <c r="H120" s="137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e">
        <f t="shared" si="8"/>
        <v>#N/A</v>
      </c>
    </row>
    <row r="121" spans="1:14" ht="45" customHeight="1">
      <c r="A121" s="135"/>
      <c r="B121" s="129"/>
      <c r="C121" s="136"/>
      <c r="D121" s="131"/>
      <c r="E121" s="126"/>
      <c r="F121" s="132"/>
      <c r="G121" s="133"/>
      <c r="H121" s="137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e">
        <f t="shared" si="8"/>
        <v>#N/A</v>
      </c>
    </row>
    <row r="122" spans="1:14" ht="45" customHeight="1">
      <c r="A122" s="135"/>
      <c r="B122" s="129"/>
      <c r="C122" s="136"/>
      <c r="D122" s="131"/>
      <c r="E122" s="126"/>
      <c r="F122" s="132"/>
      <c r="G122" s="133"/>
      <c r="H122" s="137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e">
        <f t="shared" si="8"/>
        <v>#N/A</v>
      </c>
    </row>
    <row r="123" spans="1:14" ht="45" customHeight="1">
      <c r="A123" s="135"/>
      <c r="B123" s="129"/>
      <c r="C123" s="136"/>
      <c r="D123" s="131"/>
      <c r="E123" s="126"/>
      <c r="F123" s="132"/>
      <c r="G123" s="133"/>
      <c r="H123" s="137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e">
        <f t="shared" si="8"/>
        <v>#N/A</v>
      </c>
    </row>
    <row r="124" spans="1:14" ht="45" customHeight="1">
      <c r="A124" s="135"/>
      <c r="B124" s="129"/>
      <c r="C124" s="136"/>
      <c r="D124" s="131"/>
      <c r="E124" s="126"/>
      <c r="F124" s="132"/>
      <c r="G124" s="133"/>
      <c r="H124" s="137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e">
        <f t="shared" si="8"/>
        <v>#N/A</v>
      </c>
    </row>
    <row r="125" spans="1:14" ht="45" customHeight="1">
      <c r="A125" s="135"/>
      <c r="B125" s="129"/>
      <c r="C125" s="136"/>
      <c r="D125" s="131"/>
      <c r="E125" s="126"/>
      <c r="F125" s="132"/>
      <c r="G125" s="133"/>
      <c r="H125" s="137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e">
        <f t="shared" si="8"/>
        <v>#N/A</v>
      </c>
    </row>
    <row r="126" spans="1:14" ht="45" customHeight="1">
      <c r="A126" s="135"/>
      <c r="B126" s="129"/>
      <c r="C126" s="136"/>
      <c r="D126" s="131"/>
      <c r="E126" s="126"/>
      <c r="F126" s="132"/>
      <c r="G126" s="133"/>
      <c r="H126" s="137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e">
        <f t="shared" si="8"/>
        <v>#N/A</v>
      </c>
    </row>
    <row r="127" spans="1:14" ht="45" customHeight="1">
      <c r="A127" s="135"/>
      <c r="B127" s="129"/>
      <c r="C127" s="136"/>
      <c r="D127" s="131"/>
      <c r="E127" s="126"/>
      <c r="F127" s="132"/>
      <c r="G127" s="133"/>
      <c r="H127" s="137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e">
        <f t="shared" si="8"/>
        <v>#N/A</v>
      </c>
    </row>
    <row r="128" spans="1:14" ht="45" customHeight="1">
      <c r="A128" s="135"/>
      <c r="B128" s="129"/>
      <c r="C128" s="136"/>
      <c r="D128" s="131"/>
      <c r="E128" s="126"/>
      <c r="F128" s="132"/>
      <c r="G128" s="133"/>
      <c r="H128" s="137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e">
        <f t="shared" si="8"/>
        <v>#N/A</v>
      </c>
    </row>
    <row r="129" spans="1:14" ht="45" customHeight="1">
      <c r="A129" s="135"/>
      <c r="B129" s="129"/>
      <c r="C129" s="136"/>
      <c r="D129" s="131"/>
      <c r="E129" s="126"/>
      <c r="F129" s="132"/>
      <c r="G129" s="133"/>
      <c r="H129" s="137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e">
        <f t="shared" si="8"/>
        <v>#N/A</v>
      </c>
    </row>
    <row r="130" spans="1:14" ht="45" customHeight="1">
      <c r="A130" s="135"/>
      <c r="B130" s="129"/>
      <c r="C130" s="136"/>
      <c r="D130" s="131"/>
      <c r="E130" s="126"/>
      <c r="F130" s="132"/>
      <c r="G130" s="133"/>
      <c r="H130" s="137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e">
        <f t="shared" si="8"/>
        <v>#N/A</v>
      </c>
    </row>
    <row r="131" spans="1:14" ht="45" customHeight="1">
      <c r="A131" s="135"/>
      <c r="B131" s="129"/>
      <c r="C131" s="136"/>
      <c r="D131" s="131"/>
      <c r="E131" s="126"/>
      <c r="F131" s="132"/>
      <c r="G131" s="133"/>
      <c r="H131" s="137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e">
        <f t="shared" si="8"/>
        <v>#N/A</v>
      </c>
    </row>
    <row r="132" spans="1:14" ht="45" customHeight="1">
      <c r="A132" s="135"/>
      <c r="B132" s="129"/>
      <c r="C132" s="136"/>
      <c r="D132" s="131"/>
      <c r="E132" s="126"/>
      <c r="F132" s="132"/>
      <c r="G132" s="133"/>
      <c r="H132" s="137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e">
        <f t="shared" ref="N132:N195" si="13">AND($M$1="Flat Rate",M132="Staff_Costs")</f>
        <v>#N/A</v>
      </c>
    </row>
    <row r="133" spans="1:14" ht="45" customHeight="1">
      <c r="A133" s="135"/>
      <c r="B133" s="129"/>
      <c r="C133" s="136"/>
      <c r="D133" s="131"/>
      <c r="E133" s="126"/>
      <c r="F133" s="132"/>
      <c r="G133" s="133"/>
      <c r="H133" s="137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e">
        <f t="shared" si="13"/>
        <v>#N/A</v>
      </c>
    </row>
    <row r="134" spans="1:14" ht="45" customHeight="1">
      <c r="A134" s="135"/>
      <c r="B134" s="129"/>
      <c r="C134" s="136"/>
      <c r="D134" s="131"/>
      <c r="E134" s="126"/>
      <c r="F134" s="132"/>
      <c r="G134" s="133"/>
      <c r="H134" s="137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e">
        <f t="shared" si="13"/>
        <v>#N/A</v>
      </c>
    </row>
    <row r="135" spans="1:14" ht="45" customHeight="1">
      <c r="A135" s="135"/>
      <c r="B135" s="129"/>
      <c r="C135" s="136"/>
      <c r="D135" s="131"/>
      <c r="E135" s="126"/>
      <c r="F135" s="132"/>
      <c r="G135" s="133"/>
      <c r="H135" s="137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e">
        <f t="shared" si="13"/>
        <v>#N/A</v>
      </c>
    </row>
    <row r="136" spans="1:14" ht="45" customHeight="1">
      <c r="A136" s="135"/>
      <c r="B136" s="129"/>
      <c r="C136" s="136"/>
      <c r="D136" s="131"/>
      <c r="E136" s="126"/>
      <c r="F136" s="132"/>
      <c r="G136" s="133"/>
      <c r="H136" s="137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e">
        <f t="shared" si="13"/>
        <v>#N/A</v>
      </c>
    </row>
    <row r="137" spans="1:14" ht="45" customHeight="1">
      <c r="A137" s="135"/>
      <c r="B137" s="129"/>
      <c r="C137" s="136"/>
      <c r="D137" s="131"/>
      <c r="E137" s="126"/>
      <c r="F137" s="132"/>
      <c r="G137" s="133"/>
      <c r="H137" s="137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e">
        <f t="shared" si="13"/>
        <v>#N/A</v>
      </c>
    </row>
    <row r="138" spans="1:14" ht="45" customHeight="1">
      <c r="A138" s="135"/>
      <c r="B138" s="129"/>
      <c r="C138" s="136"/>
      <c r="D138" s="131"/>
      <c r="E138" s="126"/>
      <c r="F138" s="132"/>
      <c r="G138" s="133"/>
      <c r="H138" s="137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e">
        <f t="shared" si="13"/>
        <v>#N/A</v>
      </c>
    </row>
    <row r="139" spans="1:14" ht="45" customHeight="1">
      <c r="A139" s="135"/>
      <c r="B139" s="129"/>
      <c r="C139" s="136"/>
      <c r="D139" s="131"/>
      <c r="E139" s="126"/>
      <c r="F139" s="132"/>
      <c r="G139" s="133"/>
      <c r="H139" s="137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e">
        <f t="shared" si="13"/>
        <v>#N/A</v>
      </c>
    </row>
    <row r="140" spans="1:14" ht="45" customHeight="1">
      <c r="A140" s="135"/>
      <c r="B140" s="129"/>
      <c r="C140" s="136"/>
      <c r="D140" s="131"/>
      <c r="E140" s="126"/>
      <c r="F140" s="132"/>
      <c r="G140" s="133"/>
      <c r="H140" s="137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e">
        <f t="shared" si="13"/>
        <v>#N/A</v>
      </c>
    </row>
    <row r="141" spans="1:14" ht="45" customHeight="1">
      <c r="A141" s="135"/>
      <c r="B141" s="129"/>
      <c r="C141" s="136"/>
      <c r="D141" s="131"/>
      <c r="E141" s="126"/>
      <c r="F141" s="132"/>
      <c r="G141" s="133"/>
      <c r="H141" s="137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e">
        <f t="shared" si="13"/>
        <v>#N/A</v>
      </c>
    </row>
    <row r="142" spans="1:14" ht="45" customHeight="1">
      <c r="A142" s="135"/>
      <c r="B142" s="129"/>
      <c r="C142" s="136"/>
      <c r="D142" s="131"/>
      <c r="E142" s="126"/>
      <c r="F142" s="132"/>
      <c r="G142" s="133"/>
      <c r="H142" s="137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e">
        <f t="shared" si="13"/>
        <v>#N/A</v>
      </c>
    </row>
    <row r="143" spans="1:14" ht="45" customHeight="1">
      <c r="A143" s="135"/>
      <c r="B143" s="129"/>
      <c r="C143" s="136"/>
      <c r="D143" s="131"/>
      <c r="E143" s="126"/>
      <c r="F143" s="132"/>
      <c r="G143" s="133"/>
      <c r="H143" s="137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e">
        <f t="shared" si="13"/>
        <v>#N/A</v>
      </c>
    </row>
    <row r="144" spans="1:14" ht="45" customHeight="1">
      <c r="A144" s="135"/>
      <c r="B144" s="129"/>
      <c r="C144" s="136"/>
      <c r="D144" s="131"/>
      <c r="E144" s="126"/>
      <c r="F144" s="132"/>
      <c r="G144" s="133"/>
      <c r="H144" s="137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e">
        <f t="shared" si="13"/>
        <v>#N/A</v>
      </c>
    </row>
    <row r="145" spans="1:14" ht="45" customHeight="1">
      <c r="A145" s="135"/>
      <c r="B145" s="129"/>
      <c r="C145" s="136"/>
      <c r="D145" s="131"/>
      <c r="E145" s="126"/>
      <c r="F145" s="132"/>
      <c r="G145" s="133"/>
      <c r="H145" s="137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e">
        <f t="shared" si="13"/>
        <v>#N/A</v>
      </c>
    </row>
    <row r="146" spans="1:14" ht="45" customHeight="1">
      <c r="A146" s="135"/>
      <c r="B146" s="129"/>
      <c r="C146" s="136"/>
      <c r="D146" s="131"/>
      <c r="E146" s="126"/>
      <c r="F146" s="132"/>
      <c r="G146" s="133"/>
      <c r="H146" s="137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e">
        <f t="shared" si="13"/>
        <v>#N/A</v>
      </c>
    </row>
    <row r="147" spans="1:14" ht="45" customHeight="1">
      <c r="A147" s="135"/>
      <c r="B147" s="129"/>
      <c r="C147" s="136"/>
      <c r="D147" s="131"/>
      <c r="E147" s="126"/>
      <c r="F147" s="132"/>
      <c r="G147" s="133"/>
      <c r="H147" s="137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e">
        <f t="shared" si="13"/>
        <v>#N/A</v>
      </c>
    </row>
    <row r="148" spans="1:14" ht="45" customHeight="1">
      <c r="A148" s="135"/>
      <c r="B148" s="129"/>
      <c r="C148" s="136"/>
      <c r="D148" s="131"/>
      <c r="E148" s="126"/>
      <c r="F148" s="132"/>
      <c r="G148" s="133"/>
      <c r="H148" s="137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e">
        <f t="shared" si="13"/>
        <v>#N/A</v>
      </c>
    </row>
    <row r="149" spans="1:14" ht="45" customHeight="1">
      <c r="A149" s="135"/>
      <c r="B149" s="129"/>
      <c r="C149" s="136"/>
      <c r="D149" s="131"/>
      <c r="E149" s="126"/>
      <c r="F149" s="132"/>
      <c r="G149" s="133"/>
      <c r="H149" s="137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e">
        <f t="shared" si="13"/>
        <v>#N/A</v>
      </c>
    </row>
    <row r="150" spans="1:14" ht="45" customHeight="1">
      <c r="A150" s="135"/>
      <c r="B150" s="129"/>
      <c r="C150" s="136"/>
      <c r="D150" s="131"/>
      <c r="E150" s="126"/>
      <c r="F150" s="132"/>
      <c r="G150" s="133"/>
      <c r="H150" s="137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e">
        <f t="shared" si="13"/>
        <v>#N/A</v>
      </c>
    </row>
    <row r="151" spans="1:14" ht="45" customHeight="1">
      <c r="A151" s="135"/>
      <c r="B151" s="129"/>
      <c r="C151" s="136"/>
      <c r="D151" s="131"/>
      <c r="E151" s="126"/>
      <c r="F151" s="132"/>
      <c r="G151" s="133"/>
      <c r="H151" s="137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e">
        <f t="shared" si="13"/>
        <v>#N/A</v>
      </c>
    </row>
    <row r="152" spans="1:14" ht="45" customHeight="1">
      <c r="A152" s="135"/>
      <c r="B152" s="129"/>
      <c r="C152" s="136"/>
      <c r="D152" s="131"/>
      <c r="E152" s="126"/>
      <c r="F152" s="132"/>
      <c r="G152" s="133"/>
      <c r="H152" s="137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e">
        <f t="shared" si="13"/>
        <v>#N/A</v>
      </c>
    </row>
    <row r="153" spans="1:14" ht="45" customHeight="1">
      <c r="A153" s="135"/>
      <c r="B153" s="129"/>
      <c r="C153" s="136"/>
      <c r="D153" s="131"/>
      <c r="E153" s="126"/>
      <c r="F153" s="132"/>
      <c r="G153" s="133"/>
      <c r="H153" s="137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e">
        <f t="shared" si="13"/>
        <v>#N/A</v>
      </c>
    </row>
    <row r="154" spans="1:14" ht="45" customHeight="1">
      <c r="A154" s="135"/>
      <c r="B154" s="129"/>
      <c r="C154" s="136"/>
      <c r="D154" s="131"/>
      <c r="E154" s="126"/>
      <c r="F154" s="132"/>
      <c r="G154" s="133"/>
      <c r="H154" s="137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e">
        <f t="shared" si="13"/>
        <v>#N/A</v>
      </c>
    </row>
    <row r="155" spans="1:14" ht="45" customHeight="1">
      <c r="A155" s="135"/>
      <c r="B155" s="129"/>
      <c r="C155" s="136"/>
      <c r="D155" s="131"/>
      <c r="E155" s="126"/>
      <c r="F155" s="132"/>
      <c r="G155" s="133"/>
      <c r="H155" s="137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e">
        <f t="shared" si="13"/>
        <v>#N/A</v>
      </c>
    </row>
    <row r="156" spans="1:14" ht="45" customHeight="1">
      <c r="A156" s="135"/>
      <c r="B156" s="129"/>
      <c r="C156" s="136"/>
      <c r="D156" s="131"/>
      <c r="E156" s="126"/>
      <c r="F156" s="132"/>
      <c r="G156" s="133"/>
      <c r="H156" s="137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e">
        <f t="shared" si="13"/>
        <v>#N/A</v>
      </c>
    </row>
    <row r="157" spans="1:14" ht="45" customHeight="1">
      <c r="A157" s="135"/>
      <c r="B157" s="129"/>
      <c r="C157" s="136"/>
      <c r="D157" s="131"/>
      <c r="E157" s="126"/>
      <c r="F157" s="132"/>
      <c r="G157" s="133"/>
      <c r="H157" s="137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e">
        <f t="shared" si="13"/>
        <v>#N/A</v>
      </c>
    </row>
    <row r="158" spans="1:14" ht="45" customHeight="1">
      <c r="A158" s="135"/>
      <c r="B158" s="129"/>
      <c r="C158" s="136"/>
      <c r="D158" s="131"/>
      <c r="E158" s="126"/>
      <c r="F158" s="132"/>
      <c r="G158" s="133"/>
      <c r="H158" s="137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e">
        <f t="shared" si="13"/>
        <v>#N/A</v>
      </c>
    </row>
    <row r="159" spans="1:14" ht="45" customHeight="1">
      <c r="A159" s="135"/>
      <c r="B159" s="129"/>
      <c r="C159" s="136"/>
      <c r="D159" s="131"/>
      <c r="E159" s="126"/>
      <c r="F159" s="132"/>
      <c r="G159" s="133"/>
      <c r="H159" s="137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e">
        <f t="shared" si="13"/>
        <v>#N/A</v>
      </c>
    </row>
    <row r="160" spans="1:14" ht="45" customHeight="1">
      <c r="A160" s="135"/>
      <c r="B160" s="129"/>
      <c r="C160" s="136"/>
      <c r="D160" s="131"/>
      <c r="E160" s="126"/>
      <c r="F160" s="132"/>
      <c r="G160" s="133"/>
      <c r="H160" s="137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e">
        <f t="shared" si="13"/>
        <v>#N/A</v>
      </c>
    </row>
    <row r="161" spans="1:14" ht="45" customHeight="1">
      <c r="A161" s="135"/>
      <c r="B161" s="129"/>
      <c r="C161" s="136"/>
      <c r="D161" s="131"/>
      <c r="E161" s="126"/>
      <c r="F161" s="132"/>
      <c r="G161" s="133"/>
      <c r="H161" s="137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e">
        <f t="shared" si="13"/>
        <v>#N/A</v>
      </c>
    </row>
    <row r="162" spans="1:14" ht="45" customHeight="1">
      <c r="A162" s="135"/>
      <c r="B162" s="129"/>
      <c r="C162" s="136"/>
      <c r="D162" s="131"/>
      <c r="E162" s="126"/>
      <c r="F162" s="132"/>
      <c r="G162" s="133"/>
      <c r="H162" s="137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e">
        <f t="shared" si="13"/>
        <v>#N/A</v>
      </c>
    </row>
    <row r="163" spans="1:14" ht="45" customHeight="1">
      <c r="A163" s="135"/>
      <c r="B163" s="129"/>
      <c r="C163" s="136"/>
      <c r="D163" s="131"/>
      <c r="E163" s="126"/>
      <c r="F163" s="132"/>
      <c r="G163" s="133"/>
      <c r="H163" s="137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e">
        <f t="shared" si="13"/>
        <v>#N/A</v>
      </c>
    </row>
    <row r="164" spans="1:14" ht="45" customHeight="1">
      <c r="A164" s="135"/>
      <c r="B164" s="129"/>
      <c r="C164" s="136"/>
      <c r="D164" s="131"/>
      <c r="E164" s="126"/>
      <c r="F164" s="132"/>
      <c r="G164" s="133"/>
      <c r="H164" s="137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e">
        <f t="shared" si="13"/>
        <v>#N/A</v>
      </c>
    </row>
    <row r="165" spans="1:14" ht="45" customHeight="1">
      <c r="A165" s="135"/>
      <c r="B165" s="129"/>
      <c r="C165" s="136"/>
      <c r="D165" s="131"/>
      <c r="E165" s="126"/>
      <c r="F165" s="132"/>
      <c r="G165" s="133"/>
      <c r="H165" s="137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e">
        <f t="shared" si="13"/>
        <v>#N/A</v>
      </c>
    </row>
    <row r="166" spans="1:14" ht="45" customHeight="1">
      <c r="A166" s="135"/>
      <c r="B166" s="129"/>
      <c r="C166" s="136"/>
      <c r="D166" s="131"/>
      <c r="E166" s="126"/>
      <c r="F166" s="132"/>
      <c r="G166" s="133"/>
      <c r="H166" s="137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e">
        <f t="shared" si="13"/>
        <v>#N/A</v>
      </c>
    </row>
    <row r="167" spans="1:14" ht="45" customHeight="1">
      <c r="A167" s="135"/>
      <c r="B167" s="129"/>
      <c r="C167" s="136"/>
      <c r="D167" s="131"/>
      <c r="E167" s="126"/>
      <c r="F167" s="132"/>
      <c r="G167" s="133"/>
      <c r="H167" s="137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e">
        <f t="shared" si="13"/>
        <v>#N/A</v>
      </c>
    </row>
    <row r="168" spans="1:14" ht="45" customHeight="1">
      <c r="A168" s="135"/>
      <c r="B168" s="129"/>
      <c r="C168" s="136"/>
      <c r="D168" s="131"/>
      <c r="E168" s="126"/>
      <c r="F168" s="132"/>
      <c r="G168" s="133"/>
      <c r="H168" s="137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e">
        <f t="shared" si="13"/>
        <v>#N/A</v>
      </c>
    </row>
    <row r="169" spans="1:14" ht="45" customHeight="1">
      <c r="A169" s="135"/>
      <c r="B169" s="129"/>
      <c r="C169" s="136"/>
      <c r="D169" s="131"/>
      <c r="E169" s="126"/>
      <c r="F169" s="132"/>
      <c r="G169" s="133"/>
      <c r="H169" s="137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e">
        <f t="shared" si="13"/>
        <v>#N/A</v>
      </c>
    </row>
    <row r="170" spans="1:14" ht="45" customHeight="1">
      <c r="A170" s="135"/>
      <c r="B170" s="129"/>
      <c r="C170" s="136"/>
      <c r="D170" s="131"/>
      <c r="E170" s="126"/>
      <c r="F170" s="132"/>
      <c r="G170" s="133"/>
      <c r="H170" s="137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e">
        <f t="shared" si="13"/>
        <v>#N/A</v>
      </c>
    </row>
    <row r="171" spans="1:14" ht="45" customHeight="1">
      <c r="A171" s="135"/>
      <c r="B171" s="129"/>
      <c r="C171" s="136"/>
      <c r="D171" s="131"/>
      <c r="E171" s="126"/>
      <c r="F171" s="132"/>
      <c r="G171" s="133"/>
      <c r="H171" s="137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e">
        <f t="shared" si="13"/>
        <v>#N/A</v>
      </c>
    </row>
    <row r="172" spans="1:14" ht="45" customHeight="1">
      <c r="A172" s="135"/>
      <c r="B172" s="129"/>
      <c r="C172" s="136"/>
      <c r="D172" s="131"/>
      <c r="E172" s="126"/>
      <c r="F172" s="132"/>
      <c r="G172" s="133"/>
      <c r="H172" s="137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e">
        <f t="shared" si="13"/>
        <v>#N/A</v>
      </c>
    </row>
    <row r="173" spans="1:14" ht="45" customHeight="1">
      <c r="A173" s="135"/>
      <c r="B173" s="129"/>
      <c r="C173" s="136"/>
      <c r="D173" s="131"/>
      <c r="E173" s="126"/>
      <c r="F173" s="132"/>
      <c r="G173" s="133"/>
      <c r="H173" s="137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e">
        <f t="shared" si="13"/>
        <v>#N/A</v>
      </c>
    </row>
    <row r="174" spans="1:14" ht="45" customHeight="1">
      <c r="A174" s="135"/>
      <c r="B174" s="129"/>
      <c r="C174" s="136"/>
      <c r="D174" s="131"/>
      <c r="E174" s="126"/>
      <c r="F174" s="132"/>
      <c r="G174" s="133"/>
      <c r="H174" s="137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e">
        <f t="shared" si="13"/>
        <v>#N/A</v>
      </c>
    </row>
    <row r="175" spans="1:14" ht="45" customHeight="1">
      <c r="A175" s="135"/>
      <c r="B175" s="129"/>
      <c r="C175" s="136"/>
      <c r="D175" s="131"/>
      <c r="E175" s="126"/>
      <c r="F175" s="132"/>
      <c r="G175" s="133"/>
      <c r="H175" s="137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e">
        <f t="shared" si="13"/>
        <v>#N/A</v>
      </c>
    </row>
    <row r="176" spans="1:14" ht="45" customHeight="1">
      <c r="A176" s="135"/>
      <c r="B176" s="129"/>
      <c r="C176" s="136"/>
      <c r="D176" s="131"/>
      <c r="E176" s="126"/>
      <c r="F176" s="132"/>
      <c r="G176" s="133"/>
      <c r="H176" s="137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e">
        <f t="shared" si="13"/>
        <v>#N/A</v>
      </c>
    </row>
    <row r="177" spans="1:14" ht="45" customHeight="1">
      <c r="A177" s="135"/>
      <c r="B177" s="129"/>
      <c r="C177" s="136"/>
      <c r="D177" s="131"/>
      <c r="E177" s="126"/>
      <c r="F177" s="132"/>
      <c r="G177" s="133"/>
      <c r="H177" s="137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e">
        <f t="shared" si="13"/>
        <v>#N/A</v>
      </c>
    </row>
    <row r="178" spans="1:14" ht="45" customHeight="1">
      <c r="A178" s="135"/>
      <c r="B178" s="129"/>
      <c r="C178" s="136"/>
      <c r="D178" s="131"/>
      <c r="E178" s="126"/>
      <c r="F178" s="132"/>
      <c r="G178" s="133"/>
      <c r="H178" s="137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e">
        <f t="shared" si="13"/>
        <v>#N/A</v>
      </c>
    </row>
    <row r="179" spans="1:14" ht="45" customHeight="1">
      <c r="A179" s="135"/>
      <c r="B179" s="129"/>
      <c r="C179" s="136"/>
      <c r="D179" s="131"/>
      <c r="E179" s="126"/>
      <c r="F179" s="132"/>
      <c r="G179" s="133"/>
      <c r="H179" s="137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e">
        <f t="shared" si="13"/>
        <v>#N/A</v>
      </c>
    </row>
    <row r="180" spans="1:14" ht="45" customHeight="1">
      <c r="A180" s="135"/>
      <c r="B180" s="129"/>
      <c r="C180" s="136"/>
      <c r="D180" s="131"/>
      <c r="E180" s="126"/>
      <c r="F180" s="132"/>
      <c r="G180" s="133"/>
      <c r="H180" s="137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e">
        <f t="shared" si="13"/>
        <v>#N/A</v>
      </c>
    </row>
    <row r="181" spans="1:14" ht="45" customHeight="1">
      <c r="A181" s="135"/>
      <c r="B181" s="129"/>
      <c r="C181" s="136"/>
      <c r="D181" s="131"/>
      <c r="E181" s="126"/>
      <c r="F181" s="132"/>
      <c r="G181" s="133"/>
      <c r="H181" s="137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e">
        <f t="shared" si="13"/>
        <v>#N/A</v>
      </c>
    </row>
    <row r="182" spans="1:14" ht="45" customHeight="1">
      <c r="A182" s="135"/>
      <c r="B182" s="129"/>
      <c r="C182" s="136"/>
      <c r="D182" s="131"/>
      <c r="E182" s="126"/>
      <c r="F182" s="132"/>
      <c r="G182" s="133"/>
      <c r="H182" s="137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e">
        <f t="shared" si="13"/>
        <v>#N/A</v>
      </c>
    </row>
    <row r="183" spans="1:14" ht="45" customHeight="1">
      <c r="A183" s="135"/>
      <c r="B183" s="129"/>
      <c r="C183" s="136"/>
      <c r="D183" s="131"/>
      <c r="E183" s="126"/>
      <c r="F183" s="132"/>
      <c r="G183" s="133"/>
      <c r="H183" s="137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e">
        <f t="shared" si="13"/>
        <v>#N/A</v>
      </c>
    </row>
    <row r="184" spans="1:14" ht="45" customHeight="1">
      <c r="A184" s="135"/>
      <c r="B184" s="129"/>
      <c r="C184" s="136"/>
      <c r="D184" s="131"/>
      <c r="E184" s="126"/>
      <c r="F184" s="132"/>
      <c r="G184" s="133"/>
      <c r="H184" s="137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e">
        <f t="shared" si="13"/>
        <v>#N/A</v>
      </c>
    </row>
    <row r="185" spans="1:14" ht="45" customHeight="1">
      <c r="A185" s="135"/>
      <c r="B185" s="129"/>
      <c r="C185" s="136"/>
      <c r="D185" s="131"/>
      <c r="E185" s="126"/>
      <c r="F185" s="132"/>
      <c r="G185" s="133"/>
      <c r="H185" s="137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e">
        <f t="shared" si="13"/>
        <v>#N/A</v>
      </c>
    </row>
    <row r="186" spans="1:14" ht="45" customHeight="1">
      <c r="A186" s="135"/>
      <c r="B186" s="129"/>
      <c r="C186" s="136"/>
      <c r="D186" s="131"/>
      <c r="E186" s="126"/>
      <c r="F186" s="132"/>
      <c r="G186" s="133"/>
      <c r="H186" s="137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e">
        <f t="shared" si="13"/>
        <v>#N/A</v>
      </c>
    </row>
    <row r="187" spans="1:14" ht="45" customHeight="1">
      <c r="A187" s="135"/>
      <c r="B187" s="129"/>
      <c r="C187" s="136"/>
      <c r="D187" s="131"/>
      <c r="E187" s="126"/>
      <c r="F187" s="132"/>
      <c r="G187" s="133"/>
      <c r="H187" s="137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e">
        <f t="shared" si="13"/>
        <v>#N/A</v>
      </c>
    </row>
    <row r="188" spans="1:14" ht="45" customHeight="1">
      <c r="A188" s="135"/>
      <c r="B188" s="129"/>
      <c r="C188" s="136"/>
      <c r="D188" s="131"/>
      <c r="E188" s="126"/>
      <c r="F188" s="132"/>
      <c r="G188" s="133"/>
      <c r="H188" s="137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e">
        <f t="shared" si="13"/>
        <v>#N/A</v>
      </c>
    </row>
    <row r="189" spans="1:14" ht="45" customHeight="1">
      <c r="A189" s="135"/>
      <c r="B189" s="129"/>
      <c r="C189" s="136"/>
      <c r="D189" s="131"/>
      <c r="E189" s="126"/>
      <c r="F189" s="132"/>
      <c r="G189" s="133"/>
      <c r="H189" s="137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e">
        <f t="shared" si="13"/>
        <v>#N/A</v>
      </c>
    </row>
    <row r="190" spans="1:14" ht="45" customHeight="1">
      <c r="A190" s="135"/>
      <c r="B190" s="129"/>
      <c r="C190" s="136"/>
      <c r="D190" s="131"/>
      <c r="E190" s="126"/>
      <c r="F190" s="132"/>
      <c r="G190" s="133"/>
      <c r="H190" s="137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e">
        <f t="shared" si="13"/>
        <v>#N/A</v>
      </c>
    </row>
    <row r="191" spans="1:14" ht="45" customHeight="1">
      <c r="A191" s="135"/>
      <c r="B191" s="129"/>
      <c r="C191" s="136"/>
      <c r="D191" s="131"/>
      <c r="E191" s="126"/>
      <c r="F191" s="132"/>
      <c r="G191" s="133"/>
      <c r="H191" s="137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e">
        <f t="shared" si="13"/>
        <v>#N/A</v>
      </c>
    </row>
    <row r="192" spans="1:14" ht="45" customHeight="1">
      <c r="A192" s="135"/>
      <c r="B192" s="129"/>
      <c r="C192" s="136"/>
      <c r="D192" s="131"/>
      <c r="E192" s="126"/>
      <c r="F192" s="132"/>
      <c r="G192" s="133"/>
      <c r="H192" s="137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e">
        <f t="shared" si="13"/>
        <v>#N/A</v>
      </c>
    </row>
    <row r="193" spans="1:16" ht="45" customHeight="1">
      <c r="A193" s="135"/>
      <c r="B193" s="129"/>
      <c r="C193" s="136"/>
      <c r="D193" s="131"/>
      <c r="E193" s="126"/>
      <c r="F193" s="132"/>
      <c r="G193" s="133"/>
      <c r="H193" s="137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e">
        <f t="shared" si="13"/>
        <v>#N/A</v>
      </c>
    </row>
    <row r="194" spans="1:16" ht="45" customHeight="1">
      <c r="A194" s="135"/>
      <c r="B194" s="129"/>
      <c r="C194" s="136"/>
      <c r="D194" s="131"/>
      <c r="E194" s="126"/>
      <c r="F194" s="132"/>
      <c r="G194" s="133"/>
      <c r="H194" s="137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e">
        <f t="shared" si="13"/>
        <v>#N/A</v>
      </c>
    </row>
    <row r="195" spans="1:16" ht="45" customHeight="1">
      <c r="A195" s="135"/>
      <c r="B195" s="129"/>
      <c r="C195" s="136"/>
      <c r="D195" s="131"/>
      <c r="E195" s="126"/>
      <c r="F195" s="132"/>
      <c r="G195" s="133"/>
      <c r="H195" s="137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e">
        <f t="shared" si="13"/>
        <v>#N/A</v>
      </c>
    </row>
    <row r="196" spans="1:16" ht="45" customHeight="1">
      <c r="A196" s="135"/>
      <c r="B196" s="129"/>
      <c r="C196" s="136"/>
      <c r="D196" s="131"/>
      <c r="E196" s="126"/>
      <c r="F196" s="132"/>
      <c r="G196" s="133"/>
      <c r="H196" s="137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e">
        <f t="shared" ref="N196:N201" si="18">AND($M$1="Flat Rate",M196="Staff_Costs")</f>
        <v>#N/A</v>
      </c>
    </row>
    <row r="197" spans="1:16" ht="45" customHeight="1">
      <c r="A197" s="135"/>
      <c r="B197" s="129"/>
      <c r="C197" s="136"/>
      <c r="D197" s="131"/>
      <c r="E197" s="126"/>
      <c r="F197" s="132"/>
      <c r="G197" s="133"/>
      <c r="H197" s="137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e">
        <f t="shared" si="18"/>
        <v>#N/A</v>
      </c>
    </row>
    <row r="198" spans="1:16" ht="47.25" customHeight="1">
      <c r="A198" s="135"/>
      <c r="B198" s="129"/>
      <c r="C198" s="136"/>
      <c r="D198" s="131"/>
      <c r="E198" s="126"/>
      <c r="F198" s="132"/>
      <c r="G198" s="133"/>
      <c r="H198" s="137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e">
        <f t="shared" si="18"/>
        <v>#N/A</v>
      </c>
    </row>
    <row r="199" spans="1:16" ht="47.25" customHeight="1">
      <c r="A199" s="135"/>
      <c r="B199" s="129"/>
      <c r="C199" s="136"/>
      <c r="D199" s="131"/>
      <c r="E199" s="126"/>
      <c r="F199" s="132"/>
      <c r="G199" s="133"/>
      <c r="H199" s="137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e">
        <f t="shared" si="18"/>
        <v>#N/A</v>
      </c>
    </row>
    <row r="200" spans="1:16" ht="47.25" customHeight="1">
      <c r="A200" s="135"/>
      <c r="B200" s="129"/>
      <c r="C200" s="136"/>
      <c r="D200" s="131"/>
      <c r="E200" s="126"/>
      <c r="F200" s="132"/>
      <c r="G200" s="133"/>
      <c r="H200" s="137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e">
        <f t="shared" si="18"/>
        <v>#N/A</v>
      </c>
    </row>
    <row r="201" spans="1:16" ht="47.25" customHeight="1">
      <c r="A201" s="135"/>
      <c r="B201" s="129"/>
      <c r="C201" s="136"/>
      <c r="D201" s="131"/>
      <c r="E201" s="126"/>
      <c r="F201" s="132"/>
      <c r="G201" s="133"/>
      <c r="H201" s="137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e">
        <f t="shared" si="18"/>
        <v>#N/A</v>
      </c>
    </row>
    <row r="202" spans="1:16" ht="18.75">
      <c r="L202" t="s">
        <v>524</v>
      </c>
      <c r="M202" s="66" t="str">
        <f>IF(I1=0,"-",IF(M203=0,"No Staff Costs",IF(P204=TRUE,"ERROR",IF(N204=TRUE,"Flat Rate", IF(N204=FALSE,"Real Costs", )))))</f>
        <v>-</v>
      </c>
      <c r="N202" t="s">
        <v>521</v>
      </c>
      <c r="O202" t="s">
        <v>522</v>
      </c>
      <c r="P202" t="s">
        <v>523</v>
      </c>
    </row>
    <row r="203" spans="1:16">
      <c r="L203" t="s">
        <v>526</v>
      </c>
      <c r="M203">
        <f>COUNTIF(L3:L201,"Staff*")</f>
        <v>0</v>
      </c>
    </row>
    <row r="204" spans="1:16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>
      <c r="L205" t="s">
        <v>518</v>
      </c>
      <c r="M205">
        <f>COUNTIF(L3:L201,"Staff Costs-Real*")</f>
        <v>0</v>
      </c>
    </row>
    <row r="206" spans="1:16" ht="18.75">
      <c r="L206" t="s">
        <v>525</v>
      </c>
      <c r="M206" s="66" t="str">
        <f>IF(I1=0,"-",IF(M207=0,"No O&amp;A Costs",IF(P208=TRUE,"ERROR",IF(N208=TRUE,"Flat Rate", IF(N208=FALSE,"Real Costs", )))))</f>
        <v>-</v>
      </c>
    </row>
    <row r="207" spans="1:16">
      <c r="L207" t="s">
        <v>527</v>
      </c>
      <c r="M207">
        <f>COUNTIF(L3:L201,"Office*")</f>
        <v>0</v>
      </c>
    </row>
    <row r="208" spans="1:16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>
      <c r="L209" t="s">
        <v>520</v>
      </c>
      <c r="M209">
        <f>COUNTIF(L3:L201,"Office and Administration-Real*")</f>
        <v>0</v>
      </c>
    </row>
  </sheetData>
  <sheetProtection password="C613" sheet="1" objects="1" scenarios="1" autoFilter="0"/>
  <autoFilter ref="A2:I2"/>
  <dataConsolidate/>
  <mergeCells count="1">
    <mergeCell ref="G1:H1"/>
  </mergeCells>
  <conditionalFormatting sqref="I3:I201">
    <cfRule type="expression" dxfId="75" priority="14" stopIfTrue="1">
      <formula>AND(C3="",NOT(H3=""))</formula>
    </cfRule>
  </conditionalFormatting>
  <conditionalFormatting sqref="E1:F1">
    <cfRule type="cellIs" dxfId="74" priority="12" stopIfTrue="1" operator="equal">
      <formula>0</formula>
    </cfRule>
  </conditionalFormatting>
  <conditionalFormatting sqref="I3:I201">
    <cfRule type="expression" dxfId="73" priority="10" stopIfTrue="1">
      <formula>AND(B3="",NOT(H3=""))</formula>
    </cfRule>
  </conditionalFormatting>
  <conditionalFormatting sqref="F3">
    <cfRule type="expression" dxfId="72" priority="9" stopIfTrue="1">
      <formula>D3="Flat Rate"</formula>
    </cfRule>
  </conditionalFormatting>
  <conditionalFormatting sqref="F4:F201">
    <cfRule type="expression" dxfId="71" priority="8" stopIfTrue="1">
      <formula>D4="Flat Rate"</formula>
    </cfRule>
  </conditionalFormatting>
  <conditionalFormatting sqref="G3:G201">
    <cfRule type="expression" dxfId="70" priority="1" stopIfTrue="1">
      <formula>D3="Flat Rate"</formula>
    </cfRule>
    <cfRule type="expression" dxfId="69" priority="2" stopIfTrue="1">
      <formula>C3="Staff Costs"</formula>
    </cfRule>
    <cfRule type="expression" dxfId="68" priority="3" stopIfTrue="1">
      <formula>C3="Travel and Accommodation"</formula>
    </cfRule>
  </conditionalFormatting>
  <dataValidations count="5"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sqref="C3:C201">
      <formula1>Budgetline</formula1>
    </dataValidation>
    <dataValidation type="list" allowBlank="1" showInputMessage="1" showErrorMessage="1" sqref="A3:A201">
      <formula1>WPs</formula1>
    </dataValidation>
    <dataValidation type="list" allowBlank="1" showInputMessage="1" showErrorMessage="1" sqref="B3:B201">
      <formula1>IF(A3="WP1", P4WP1, IF(A3="WP2",P4WP2,IF(A3="WP3",P4WP3,IF(A3="WP4",P4WP4,IF(A3="WP5",P4WP5,IF(A3="WP6",P4WP6,0))))))</formula1>
    </dataValidation>
    <dataValidation type="list" allowBlank="1" showInputMessage="1" showErrorMessage="1" errorTitle="Change Budget line orType" sqref="D3:D201">
      <formula1>IF(N3=TRUE,Flat,INDIRECT(M3))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4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P209"/>
  <sheetViews>
    <sheetView zoomScale="55" zoomScaleNormal="55" zoomScaleSheetLayoutView="70" workbookViewId="0">
      <selection activeCell="G62" sqref="G62"/>
    </sheetView>
  </sheetViews>
  <sheetFormatPr defaultRowHeight="1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0" width="19.28515625" hidden="1" customWidth="1"/>
    <col min="11" max="12" width="0" hidden="1" customWidth="1"/>
    <col min="13" max="13" width="15.140625" hidden="1" customWidth="1"/>
    <col min="14" max="16" width="0" hidden="1" customWidth="1"/>
  </cols>
  <sheetData>
    <row r="1" spans="1:14" ht="15.75">
      <c r="A1" s="36"/>
      <c r="B1" s="36"/>
      <c r="C1" s="36"/>
      <c r="D1" s="55" t="s">
        <v>15</v>
      </c>
      <c r="E1" s="56">
        <f>'Cover page'!C26</f>
        <v>0</v>
      </c>
      <c r="F1" s="56">
        <f>'Cover page'!G26</f>
        <v>0</v>
      </c>
      <c r="G1" s="195" t="s">
        <v>412</v>
      </c>
      <c r="H1" s="196"/>
      <c r="I1" s="52">
        <f>SUMIF(B3:B201,"D*",I3:I201)</f>
        <v>0</v>
      </c>
      <c r="M1">
        <f>'Cover page'!G33</f>
        <v>0</v>
      </c>
    </row>
    <row r="2" spans="1:14" ht="32.25" customHeight="1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L2" s="65" t="s">
        <v>516</v>
      </c>
      <c r="M2" s="65" t="s">
        <v>578</v>
      </c>
      <c r="N2" s="65" t="s">
        <v>580</v>
      </c>
    </row>
    <row r="3" spans="1:14" ht="45" customHeight="1">
      <c r="A3" s="129"/>
      <c r="B3" s="129"/>
      <c r="C3" s="130"/>
      <c r="D3" s="131"/>
      <c r="E3" s="124"/>
      <c r="F3" s="132"/>
      <c r="G3" s="133"/>
      <c r="H3" s="134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e">
        <f>AND($M$1="Flat Rate",M3="Staff_Costs")</f>
        <v>#N/A</v>
      </c>
    </row>
    <row r="4" spans="1:14" ht="45" customHeight="1">
      <c r="A4" s="135"/>
      <c r="B4" s="129"/>
      <c r="C4" s="136"/>
      <c r="D4" s="131"/>
      <c r="E4" s="124"/>
      <c r="F4" s="132"/>
      <c r="G4" s="133"/>
      <c r="H4" s="137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e">
        <f t="shared" ref="N4:N67" si="3">AND($M$1="Flat Rate",M4="Staff_Costs")</f>
        <v>#N/A</v>
      </c>
    </row>
    <row r="5" spans="1:14" ht="45" customHeight="1">
      <c r="A5" s="135"/>
      <c r="B5" s="129"/>
      <c r="C5" s="136"/>
      <c r="D5" s="131"/>
      <c r="E5" s="124"/>
      <c r="F5" s="132"/>
      <c r="G5" s="133"/>
      <c r="H5" s="137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e">
        <f t="shared" si="3"/>
        <v>#N/A</v>
      </c>
    </row>
    <row r="6" spans="1:14" ht="45" customHeight="1">
      <c r="A6" s="135"/>
      <c r="B6" s="129"/>
      <c r="C6" s="136"/>
      <c r="D6" s="131"/>
      <c r="E6" s="124"/>
      <c r="F6" s="132"/>
      <c r="G6" s="133"/>
      <c r="H6" s="137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e">
        <f t="shared" si="3"/>
        <v>#N/A</v>
      </c>
    </row>
    <row r="7" spans="1:14" ht="45" customHeight="1">
      <c r="A7" s="135"/>
      <c r="B7" s="129"/>
      <c r="C7" s="136"/>
      <c r="D7" s="131"/>
      <c r="E7" s="124"/>
      <c r="F7" s="132"/>
      <c r="G7" s="133"/>
      <c r="H7" s="137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e">
        <f t="shared" si="3"/>
        <v>#N/A</v>
      </c>
    </row>
    <row r="8" spans="1:14" ht="45" customHeight="1">
      <c r="A8" s="135"/>
      <c r="B8" s="129"/>
      <c r="C8" s="136"/>
      <c r="D8" s="131"/>
      <c r="E8" s="124"/>
      <c r="F8" s="132"/>
      <c r="G8" s="133"/>
      <c r="H8" s="137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e">
        <f t="shared" si="3"/>
        <v>#N/A</v>
      </c>
    </row>
    <row r="9" spans="1:14" ht="45" customHeight="1">
      <c r="A9" s="135"/>
      <c r="B9" s="129"/>
      <c r="C9" s="136"/>
      <c r="D9" s="131"/>
      <c r="E9" s="124"/>
      <c r="F9" s="132"/>
      <c r="G9" s="133"/>
      <c r="H9" s="137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e">
        <f t="shared" si="3"/>
        <v>#N/A</v>
      </c>
    </row>
    <row r="10" spans="1:14" ht="45" customHeight="1">
      <c r="A10" s="135"/>
      <c r="B10" s="129"/>
      <c r="C10" s="136"/>
      <c r="D10" s="131"/>
      <c r="E10" s="124"/>
      <c r="F10" s="132"/>
      <c r="G10" s="133"/>
      <c r="H10" s="137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e">
        <f t="shared" si="3"/>
        <v>#N/A</v>
      </c>
    </row>
    <row r="11" spans="1:14" ht="45" customHeight="1">
      <c r="A11" s="135"/>
      <c r="B11" s="129"/>
      <c r="C11" s="136"/>
      <c r="D11" s="131"/>
      <c r="E11" s="124"/>
      <c r="F11" s="132"/>
      <c r="G11" s="133"/>
      <c r="H11" s="137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e">
        <f t="shared" si="3"/>
        <v>#N/A</v>
      </c>
    </row>
    <row r="12" spans="1:14" ht="45" customHeight="1">
      <c r="A12" s="135"/>
      <c r="B12" s="129"/>
      <c r="C12" s="136"/>
      <c r="D12" s="131"/>
      <c r="E12" s="124"/>
      <c r="F12" s="132"/>
      <c r="G12" s="133"/>
      <c r="H12" s="137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e">
        <f t="shared" si="3"/>
        <v>#N/A</v>
      </c>
    </row>
    <row r="13" spans="1:14" ht="45" customHeight="1">
      <c r="A13" s="135"/>
      <c r="B13" s="129"/>
      <c r="C13" s="136"/>
      <c r="D13" s="131"/>
      <c r="E13" s="124"/>
      <c r="F13" s="132"/>
      <c r="G13" s="133"/>
      <c r="H13" s="137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e">
        <f t="shared" si="3"/>
        <v>#N/A</v>
      </c>
    </row>
    <row r="14" spans="1:14" ht="45" customHeight="1">
      <c r="A14" s="135"/>
      <c r="B14" s="129"/>
      <c r="C14" s="136"/>
      <c r="D14" s="131"/>
      <c r="E14" s="124"/>
      <c r="F14" s="132"/>
      <c r="G14" s="133"/>
      <c r="H14" s="137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e">
        <f t="shared" si="3"/>
        <v>#N/A</v>
      </c>
    </row>
    <row r="15" spans="1:14" ht="45" customHeight="1">
      <c r="A15" s="135"/>
      <c r="B15" s="129"/>
      <c r="C15" s="136"/>
      <c r="D15" s="131"/>
      <c r="E15" s="124"/>
      <c r="F15" s="132"/>
      <c r="G15" s="133"/>
      <c r="H15" s="137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e">
        <f t="shared" si="3"/>
        <v>#N/A</v>
      </c>
    </row>
    <row r="16" spans="1:14" ht="45" customHeight="1">
      <c r="A16" s="135"/>
      <c r="B16" s="129"/>
      <c r="C16" s="136"/>
      <c r="D16" s="131"/>
      <c r="E16" s="124"/>
      <c r="F16" s="132"/>
      <c r="G16" s="133"/>
      <c r="H16" s="137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e">
        <f t="shared" si="3"/>
        <v>#N/A</v>
      </c>
    </row>
    <row r="17" spans="1:14" ht="45" customHeight="1">
      <c r="A17" s="135"/>
      <c r="B17" s="129"/>
      <c r="C17" s="136"/>
      <c r="D17" s="131"/>
      <c r="E17" s="124"/>
      <c r="F17" s="132"/>
      <c r="G17" s="133"/>
      <c r="H17" s="137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e">
        <f t="shared" si="3"/>
        <v>#N/A</v>
      </c>
    </row>
    <row r="18" spans="1:14" ht="45" customHeight="1">
      <c r="A18" s="138"/>
      <c r="B18" s="129"/>
      <c r="C18" s="139"/>
      <c r="D18" s="131"/>
      <c r="E18" s="124"/>
      <c r="F18" s="132"/>
      <c r="G18" s="133"/>
      <c r="H18" s="140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e">
        <f t="shared" si="3"/>
        <v>#N/A</v>
      </c>
    </row>
    <row r="19" spans="1:14" ht="45" customHeight="1">
      <c r="A19" s="135"/>
      <c r="B19" s="129"/>
      <c r="C19" s="136"/>
      <c r="D19" s="131"/>
      <c r="E19" s="124"/>
      <c r="F19" s="132"/>
      <c r="G19" s="133"/>
      <c r="H19" s="137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e">
        <f t="shared" si="3"/>
        <v>#N/A</v>
      </c>
    </row>
    <row r="20" spans="1:14" ht="45" customHeight="1">
      <c r="A20" s="135"/>
      <c r="B20" s="129"/>
      <c r="C20" s="136"/>
      <c r="D20" s="131"/>
      <c r="E20" s="124"/>
      <c r="F20" s="132"/>
      <c r="G20" s="133"/>
      <c r="H20" s="137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e">
        <f t="shared" si="3"/>
        <v>#N/A</v>
      </c>
    </row>
    <row r="21" spans="1:14" ht="45" customHeight="1">
      <c r="A21" s="135"/>
      <c r="B21" s="129"/>
      <c r="C21" s="136"/>
      <c r="D21" s="131"/>
      <c r="E21" s="124"/>
      <c r="F21" s="132"/>
      <c r="G21" s="133"/>
      <c r="H21" s="137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e">
        <f t="shared" si="3"/>
        <v>#N/A</v>
      </c>
    </row>
    <row r="22" spans="1:14" ht="45" customHeight="1">
      <c r="A22" s="135"/>
      <c r="B22" s="129"/>
      <c r="C22" s="136"/>
      <c r="D22" s="131"/>
      <c r="E22" s="124"/>
      <c r="F22" s="132"/>
      <c r="G22" s="133"/>
      <c r="H22" s="137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e">
        <f t="shared" si="3"/>
        <v>#N/A</v>
      </c>
    </row>
    <row r="23" spans="1:14" ht="45" customHeight="1">
      <c r="A23" s="135"/>
      <c r="B23" s="129"/>
      <c r="C23" s="136"/>
      <c r="D23" s="131"/>
      <c r="E23" s="124"/>
      <c r="F23" s="132"/>
      <c r="G23" s="133"/>
      <c r="H23" s="137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e">
        <f t="shared" si="3"/>
        <v>#N/A</v>
      </c>
    </row>
    <row r="24" spans="1:14" ht="45" customHeight="1">
      <c r="A24" s="135"/>
      <c r="B24" s="129"/>
      <c r="C24" s="136"/>
      <c r="D24" s="131"/>
      <c r="E24" s="124"/>
      <c r="F24" s="132"/>
      <c r="G24" s="133"/>
      <c r="H24" s="137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e">
        <f t="shared" si="3"/>
        <v>#N/A</v>
      </c>
    </row>
    <row r="25" spans="1:14" ht="45" customHeight="1">
      <c r="A25" s="135"/>
      <c r="B25" s="129"/>
      <c r="C25" s="136"/>
      <c r="D25" s="131"/>
      <c r="E25" s="124"/>
      <c r="F25" s="132"/>
      <c r="G25" s="133"/>
      <c r="H25" s="137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e">
        <f t="shared" si="3"/>
        <v>#N/A</v>
      </c>
    </row>
    <row r="26" spans="1:14" ht="45" customHeight="1">
      <c r="A26" s="135"/>
      <c r="B26" s="129"/>
      <c r="C26" s="136"/>
      <c r="D26" s="131"/>
      <c r="E26" s="124"/>
      <c r="F26" s="132"/>
      <c r="G26" s="133"/>
      <c r="H26" s="137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e">
        <f t="shared" si="3"/>
        <v>#N/A</v>
      </c>
    </row>
    <row r="27" spans="1:14" ht="45" customHeight="1">
      <c r="A27" s="135"/>
      <c r="B27" s="129"/>
      <c r="C27" s="136"/>
      <c r="D27" s="131"/>
      <c r="E27" s="124"/>
      <c r="F27" s="132"/>
      <c r="G27" s="133"/>
      <c r="H27" s="137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e">
        <f t="shared" si="3"/>
        <v>#N/A</v>
      </c>
    </row>
    <row r="28" spans="1:14" ht="45" customHeight="1">
      <c r="A28" s="135"/>
      <c r="B28" s="129"/>
      <c r="C28" s="136"/>
      <c r="D28" s="131"/>
      <c r="E28" s="124"/>
      <c r="F28" s="132"/>
      <c r="G28" s="133"/>
      <c r="H28" s="137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e">
        <f t="shared" si="3"/>
        <v>#N/A</v>
      </c>
    </row>
    <row r="29" spans="1:14" ht="45" customHeight="1">
      <c r="A29" s="135"/>
      <c r="B29" s="129"/>
      <c r="C29" s="136"/>
      <c r="D29" s="131"/>
      <c r="E29" s="124"/>
      <c r="F29" s="132"/>
      <c r="G29" s="133"/>
      <c r="H29" s="137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e">
        <f t="shared" si="3"/>
        <v>#N/A</v>
      </c>
    </row>
    <row r="30" spans="1:14" ht="45" customHeight="1">
      <c r="A30" s="135"/>
      <c r="B30" s="129"/>
      <c r="C30" s="136"/>
      <c r="D30" s="131"/>
      <c r="E30" s="124"/>
      <c r="F30" s="132"/>
      <c r="G30" s="133"/>
      <c r="H30" s="137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e">
        <f t="shared" si="3"/>
        <v>#N/A</v>
      </c>
    </row>
    <row r="31" spans="1:14" ht="45" customHeight="1">
      <c r="A31" s="135"/>
      <c r="B31" s="129"/>
      <c r="C31" s="136"/>
      <c r="D31" s="131"/>
      <c r="E31" s="124"/>
      <c r="F31" s="132"/>
      <c r="G31" s="133"/>
      <c r="H31" s="137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e">
        <f t="shared" si="3"/>
        <v>#N/A</v>
      </c>
    </row>
    <row r="32" spans="1:14" ht="45" customHeight="1">
      <c r="A32" s="135"/>
      <c r="B32" s="129"/>
      <c r="C32" s="136"/>
      <c r="D32" s="131"/>
      <c r="E32" s="124"/>
      <c r="F32" s="132"/>
      <c r="G32" s="133"/>
      <c r="H32" s="137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e">
        <f t="shared" si="3"/>
        <v>#N/A</v>
      </c>
    </row>
    <row r="33" spans="1:14" ht="45" customHeight="1">
      <c r="A33" s="135"/>
      <c r="B33" s="129"/>
      <c r="C33" s="136"/>
      <c r="D33" s="131"/>
      <c r="E33" s="124"/>
      <c r="F33" s="132"/>
      <c r="G33" s="133"/>
      <c r="H33" s="137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e">
        <f t="shared" si="3"/>
        <v>#N/A</v>
      </c>
    </row>
    <row r="34" spans="1:14" ht="45" customHeight="1">
      <c r="A34" s="135"/>
      <c r="B34" s="129"/>
      <c r="C34" s="136"/>
      <c r="D34" s="131"/>
      <c r="E34" s="126"/>
      <c r="F34" s="132"/>
      <c r="G34" s="133"/>
      <c r="H34" s="137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e">
        <f t="shared" si="3"/>
        <v>#N/A</v>
      </c>
    </row>
    <row r="35" spans="1:14" ht="45" customHeight="1">
      <c r="A35" s="135"/>
      <c r="B35" s="129"/>
      <c r="C35" s="136"/>
      <c r="D35" s="131"/>
      <c r="E35" s="126"/>
      <c r="F35" s="132"/>
      <c r="G35" s="133"/>
      <c r="H35" s="137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e">
        <f t="shared" si="3"/>
        <v>#N/A</v>
      </c>
    </row>
    <row r="36" spans="1:14" ht="45" customHeight="1">
      <c r="A36" s="135"/>
      <c r="B36" s="129"/>
      <c r="C36" s="136"/>
      <c r="D36" s="131"/>
      <c r="E36" s="126"/>
      <c r="F36" s="132"/>
      <c r="G36" s="133"/>
      <c r="H36" s="137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e">
        <f t="shared" si="3"/>
        <v>#N/A</v>
      </c>
    </row>
    <row r="37" spans="1:14" ht="45" customHeight="1">
      <c r="A37" s="135"/>
      <c r="B37" s="129"/>
      <c r="C37" s="136"/>
      <c r="D37" s="131"/>
      <c r="E37" s="126"/>
      <c r="F37" s="132"/>
      <c r="G37" s="133"/>
      <c r="H37" s="137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e">
        <f t="shared" si="3"/>
        <v>#N/A</v>
      </c>
    </row>
    <row r="38" spans="1:14" ht="45" customHeight="1">
      <c r="A38" s="135"/>
      <c r="B38" s="129"/>
      <c r="C38" s="136"/>
      <c r="D38" s="131"/>
      <c r="E38" s="126"/>
      <c r="F38" s="132"/>
      <c r="G38" s="133"/>
      <c r="H38" s="137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e">
        <f t="shared" si="3"/>
        <v>#N/A</v>
      </c>
    </row>
    <row r="39" spans="1:14" ht="45" customHeight="1">
      <c r="A39" s="135"/>
      <c r="B39" s="129"/>
      <c r="C39" s="136"/>
      <c r="D39" s="131"/>
      <c r="E39" s="126"/>
      <c r="F39" s="132"/>
      <c r="G39" s="133"/>
      <c r="H39" s="137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e">
        <f t="shared" si="3"/>
        <v>#N/A</v>
      </c>
    </row>
    <row r="40" spans="1:14" ht="45" customHeight="1">
      <c r="A40" s="135"/>
      <c r="B40" s="129"/>
      <c r="C40" s="136"/>
      <c r="D40" s="131"/>
      <c r="E40" s="126"/>
      <c r="F40" s="132"/>
      <c r="G40" s="133"/>
      <c r="H40" s="137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e">
        <f t="shared" si="3"/>
        <v>#N/A</v>
      </c>
    </row>
    <row r="41" spans="1:14" ht="45" customHeight="1">
      <c r="A41" s="135"/>
      <c r="B41" s="129"/>
      <c r="C41" s="136"/>
      <c r="D41" s="131"/>
      <c r="E41" s="126"/>
      <c r="F41" s="132"/>
      <c r="G41" s="133"/>
      <c r="H41" s="137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e">
        <f t="shared" si="3"/>
        <v>#N/A</v>
      </c>
    </row>
    <row r="42" spans="1:14" ht="45" customHeight="1">
      <c r="A42" s="135"/>
      <c r="B42" s="129"/>
      <c r="C42" s="136"/>
      <c r="D42" s="131"/>
      <c r="E42" s="126"/>
      <c r="F42" s="132"/>
      <c r="G42" s="133"/>
      <c r="H42" s="137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e">
        <f t="shared" si="3"/>
        <v>#N/A</v>
      </c>
    </row>
    <row r="43" spans="1:14" ht="45" customHeight="1">
      <c r="A43" s="135"/>
      <c r="B43" s="129"/>
      <c r="C43" s="136"/>
      <c r="D43" s="131"/>
      <c r="E43" s="126"/>
      <c r="F43" s="132"/>
      <c r="G43" s="133"/>
      <c r="H43" s="137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e">
        <f t="shared" si="3"/>
        <v>#N/A</v>
      </c>
    </row>
    <row r="44" spans="1:14" ht="45" customHeight="1">
      <c r="A44" s="135"/>
      <c r="B44" s="129"/>
      <c r="C44" s="136"/>
      <c r="D44" s="131"/>
      <c r="E44" s="126"/>
      <c r="F44" s="132"/>
      <c r="G44" s="133"/>
      <c r="H44" s="137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e">
        <f t="shared" si="3"/>
        <v>#N/A</v>
      </c>
    </row>
    <row r="45" spans="1:14" ht="45" customHeight="1">
      <c r="A45" s="135"/>
      <c r="B45" s="129"/>
      <c r="C45" s="136"/>
      <c r="D45" s="131"/>
      <c r="E45" s="126"/>
      <c r="F45" s="132"/>
      <c r="G45" s="133"/>
      <c r="H45" s="137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e">
        <f t="shared" si="3"/>
        <v>#N/A</v>
      </c>
    </row>
    <row r="46" spans="1:14" ht="45" customHeight="1">
      <c r="A46" s="135"/>
      <c r="B46" s="129"/>
      <c r="C46" s="136"/>
      <c r="D46" s="131"/>
      <c r="E46" s="126"/>
      <c r="F46" s="132"/>
      <c r="G46" s="133"/>
      <c r="H46" s="137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e">
        <f t="shared" si="3"/>
        <v>#N/A</v>
      </c>
    </row>
    <row r="47" spans="1:14" ht="45" customHeight="1">
      <c r="A47" s="135"/>
      <c r="B47" s="129"/>
      <c r="C47" s="136"/>
      <c r="D47" s="131"/>
      <c r="E47" s="126"/>
      <c r="F47" s="132"/>
      <c r="G47" s="133"/>
      <c r="H47" s="137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e">
        <f t="shared" si="3"/>
        <v>#N/A</v>
      </c>
    </row>
    <row r="48" spans="1:14" ht="45" customHeight="1">
      <c r="A48" s="135"/>
      <c r="B48" s="129"/>
      <c r="C48" s="136"/>
      <c r="D48" s="131"/>
      <c r="E48" s="126"/>
      <c r="F48" s="132"/>
      <c r="G48" s="133"/>
      <c r="H48" s="137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e">
        <f t="shared" si="3"/>
        <v>#N/A</v>
      </c>
    </row>
    <row r="49" spans="1:14" ht="45" customHeight="1">
      <c r="A49" s="135"/>
      <c r="B49" s="129"/>
      <c r="C49" s="136"/>
      <c r="D49" s="131"/>
      <c r="E49" s="126"/>
      <c r="F49" s="132"/>
      <c r="G49" s="133"/>
      <c r="H49" s="137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e">
        <f t="shared" si="3"/>
        <v>#N/A</v>
      </c>
    </row>
    <row r="50" spans="1:14" ht="45" customHeight="1">
      <c r="A50" s="135"/>
      <c r="B50" s="129"/>
      <c r="C50" s="136"/>
      <c r="D50" s="131"/>
      <c r="E50" s="126"/>
      <c r="F50" s="132"/>
      <c r="G50" s="133"/>
      <c r="H50" s="137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e">
        <f t="shared" si="3"/>
        <v>#N/A</v>
      </c>
    </row>
    <row r="51" spans="1:14" ht="45" customHeight="1">
      <c r="A51" s="135"/>
      <c r="B51" s="129"/>
      <c r="C51" s="136"/>
      <c r="D51" s="131"/>
      <c r="E51" s="126"/>
      <c r="F51" s="132"/>
      <c r="G51" s="133"/>
      <c r="H51" s="137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e">
        <f t="shared" si="3"/>
        <v>#N/A</v>
      </c>
    </row>
    <row r="52" spans="1:14" ht="45" customHeight="1">
      <c r="A52" s="135"/>
      <c r="B52" s="129"/>
      <c r="C52" s="136"/>
      <c r="D52" s="131"/>
      <c r="E52" s="126"/>
      <c r="F52" s="132"/>
      <c r="G52" s="133"/>
      <c r="H52" s="137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e">
        <f t="shared" si="3"/>
        <v>#N/A</v>
      </c>
    </row>
    <row r="53" spans="1:14" ht="45" customHeight="1">
      <c r="A53" s="135"/>
      <c r="B53" s="129"/>
      <c r="C53" s="136"/>
      <c r="D53" s="131"/>
      <c r="E53" s="126"/>
      <c r="F53" s="132"/>
      <c r="G53" s="133"/>
      <c r="H53" s="137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e">
        <f t="shared" si="3"/>
        <v>#N/A</v>
      </c>
    </row>
    <row r="54" spans="1:14" ht="45" customHeight="1">
      <c r="A54" s="135"/>
      <c r="B54" s="129"/>
      <c r="C54" s="136"/>
      <c r="D54" s="131"/>
      <c r="E54" s="126"/>
      <c r="F54" s="132"/>
      <c r="G54" s="133"/>
      <c r="H54" s="137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e">
        <f t="shared" si="3"/>
        <v>#N/A</v>
      </c>
    </row>
    <row r="55" spans="1:14" ht="45" customHeight="1">
      <c r="A55" s="135"/>
      <c r="B55" s="129"/>
      <c r="C55" s="136"/>
      <c r="D55" s="131"/>
      <c r="E55" s="126"/>
      <c r="F55" s="132"/>
      <c r="G55" s="133"/>
      <c r="H55" s="137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e">
        <f t="shared" si="3"/>
        <v>#N/A</v>
      </c>
    </row>
    <row r="56" spans="1:14" ht="45" customHeight="1">
      <c r="A56" s="135"/>
      <c r="B56" s="129"/>
      <c r="C56" s="136"/>
      <c r="D56" s="131"/>
      <c r="E56" s="126"/>
      <c r="F56" s="132"/>
      <c r="G56" s="133"/>
      <c r="H56" s="137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e">
        <f t="shared" si="3"/>
        <v>#N/A</v>
      </c>
    </row>
    <row r="57" spans="1:14" ht="45" customHeight="1">
      <c r="A57" s="135"/>
      <c r="B57" s="129"/>
      <c r="C57" s="136"/>
      <c r="D57" s="131"/>
      <c r="E57" s="126"/>
      <c r="F57" s="132"/>
      <c r="G57" s="133"/>
      <c r="H57" s="137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e">
        <f t="shared" si="3"/>
        <v>#N/A</v>
      </c>
    </row>
    <row r="58" spans="1:14" ht="45" customHeight="1">
      <c r="A58" s="135"/>
      <c r="B58" s="129"/>
      <c r="C58" s="136"/>
      <c r="D58" s="131"/>
      <c r="E58" s="126"/>
      <c r="F58" s="132"/>
      <c r="G58" s="133"/>
      <c r="H58" s="137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e">
        <f t="shared" si="3"/>
        <v>#N/A</v>
      </c>
    </row>
    <row r="59" spans="1:14" ht="45" customHeight="1">
      <c r="A59" s="135"/>
      <c r="B59" s="129"/>
      <c r="C59" s="136"/>
      <c r="D59" s="131"/>
      <c r="E59" s="126"/>
      <c r="F59" s="132"/>
      <c r="G59" s="133"/>
      <c r="H59" s="137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e">
        <f t="shared" si="3"/>
        <v>#N/A</v>
      </c>
    </row>
    <row r="60" spans="1:14" ht="45" customHeight="1">
      <c r="A60" s="135"/>
      <c r="B60" s="129"/>
      <c r="C60" s="136"/>
      <c r="D60" s="131"/>
      <c r="E60" s="126"/>
      <c r="F60" s="132"/>
      <c r="G60" s="133"/>
      <c r="H60" s="137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e">
        <f t="shared" si="3"/>
        <v>#N/A</v>
      </c>
    </row>
    <row r="61" spans="1:14" ht="45" customHeight="1">
      <c r="A61" s="135"/>
      <c r="B61" s="129"/>
      <c r="C61" s="136"/>
      <c r="D61" s="131"/>
      <c r="E61" s="126"/>
      <c r="F61" s="132"/>
      <c r="G61" s="133"/>
      <c r="H61" s="137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e">
        <f t="shared" si="3"/>
        <v>#N/A</v>
      </c>
    </row>
    <row r="62" spans="1:14" ht="45" customHeight="1">
      <c r="A62" s="135"/>
      <c r="B62" s="129"/>
      <c r="C62" s="136"/>
      <c r="D62" s="131"/>
      <c r="E62" s="126"/>
      <c r="F62" s="132"/>
      <c r="G62" s="133"/>
      <c r="H62" s="137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e">
        <f t="shared" si="3"/>
        <v>#N/A</v>
      </c>
    </row>
    <row r="63" spans="1:14" ht="45" customHeight="1">
      <c r="A63" s="135"/>
      <c r="B63" s="129"/>
      <c r="C63" s="136"/>
      <c r="D63" s="131"/>
      <c r="E63" s="126"/>
      <c r="F63" s="132"/>
      <c r="G63" s="133"/>
      <c r="H63" s="137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e">
        <f t="shared" si="3"/>
        <v>#N/A</v>
      </c>
    </row>
    <row r="64" spans="1:14" ht="45" customHeight="1">
      <c r="A64" s="135"/>
      <c r="B64" s="129"/>
      <c r="C64" s="136"/>
      <c r="D64" s="131"/>
      <c r="E64" s="126"/>
      <c r="F64" s="132"/>
      <c r="G64" s="133"/>
      <c r="H64" s="137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e">
        <f t="shared" si="3"/>
        <v>#N/A</v>
      </c>
    </row>
    <row r="65" spans="1:14" ht="45" customHeight="1">
      <c r="A65" s="135"/>
      <c r="B65" s="129"/>
      <c r="C65" s="136"/>
      <c r="D65" s="131"/>
      <c r="E65" s="126"/>
      <c r="F65" s="132"/>
      <c r="G65" s="133"/>
      <c r="H65" s="137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e">
        <f t="shared" si="3"/>
        <v>#N/A</v>
      </c>
    </row>
    <row r="66" spans="1:14" ht="45" customHeight="1">
      <c r="A66" s="135"/>
      <c r="B66" s="129"/>
      <c r="C66" s="136"/>
      <c r="D66" s="131"/>
      <c r="E66" s="126"/>
      <c r="F66" s="132"/>
      <c r="G66" s="133"/>
      <c r="H66" s="137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e">
        <f t="shared" si="3"/>
        <v>#N/A</v>
      </c>
    </row>
    <row r="67" spans="1:14" ht="45" customHeight="1">
      <c r="A67" s="135"/>
      <c r="B67" s="129"/>
      <c r="C67" s="136"/>
      <c r="D67" s="131"/>
      <c r="E67" s="126"/>
      <c r="F67" s="132"/>
      <c r="G67" s="133"/>
      <c r="H67" s="137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e">
        <f t="shared" si="3"/>
        <v>#N/A</v>
      </c>
    </row>
    <row r="68" spans="1:14" ht="45" customHeight="1">
      <c r="A68" s="135"/>
      <c r="B68" s="129"/>
      <c r="C68" s="136"/>
      <c r="D68" s="131"/>
      <c r="E68" s="126"/>
      <c r="F68" s="132"/>
      <c r="G68" s="133"/>
      <c r="H68" s="137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e">
        <f t="shared" ref="N68:N131" si="8">AND($M$1="Flat Rate",M68="Staff_Costs")</f>
        <v>#N/A</v>
      </c>
    </row>
    <row r="69" spans="1:14" ht="45" customHeight="1">
      <c r="A69" s="135"/>
      <c r="B69" s="129"/>
      <c r="C69" s="136"/>
      <c r="D69" s="131"/>
      <c r="E69" s="126"/>
      <c r="F69" s="132"/>
      <c r="G69" s="133"/>
      <c r="H69" s="137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e">
        <f t="shared" si="8"/>
        <v>#N/A</v>
      </c>
    </row>
    <row r="70" spans="1:14" ht="45" customHeight="1">
      <c r="A70" s="135"/>
      <c r="B70" s="129"/>
      <c r="C70" s="136"/>
      <c r="D70" s="131"/>
      <c r="E70" s="126"/>
      <c r="F70" s="132"/>
      <c r="G70" s="133"/>
      <c r="H70" s="137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e">
        <f t="shared" si="8"/>
        <v>#N/A</v>
      </c>
    </row>
    <row r="71" spans="1:14" ht="45" customHeight="1">
      <c r="A71" s="135"/>
      <c r="B71" s="129"/>
      <c r="C71" s="136"/>
      <c r="D71" s="131"/>
      <c r="E71" s="126"/>
      <c r="F71" s="132"/>
      <c r="G71" s="133"/>
      <c r="H71" s="137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e">
        <f t="shared" si="8"/>
        <v>#N/A</v>
      </c>
    </row>
    <row r="72" spans="1:14" ht="45" customHeight="1">
      <c r="A72" s="135"/>
      <c r="B72" s="129"/>
      <c r="C72" s="136"/>
      <c r="D72" s="131"/>
      <c r="E72" s="126"/>
      <c r="F72" s="132"/>
      <c r="G72" s="133"/>
      <c r="H72" s="137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e">
        <f t="shared" si="8"/>
        <v>#N/A</v>
      </c>
    </row>
    <row r="73" spans="1:14" ht="45" customHeight="1">
      <c r="A73" s="135"/>
      <c r="B73" s="129"/>
      <c r="C73" s="136"/>
      <c r="D73" s="131"/>
      <c r="E73" s="126"/>
      <c r="F73" s="132"/>
      <c r="G73" s="133"/>
      <c r="H73" s="137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e">
        <f t="shared" si="8"/>
        <v>#N/A</v>
      </c>
    </row>
    <row r="74" spans="1:14" ht="45" customHeight="1">
      <c r="A74" s="135"/>
      <c r="B74" s="129"/>
      <c r="C74" s="136"/>
      <c r="D74" s="131"/>
      <c r="E74" s="126"/>
      <c r="F74" s="132"/>
      <c r="G74" s="133"/>
      <c r="H74" s="137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e">
        <f t="shared" si="8"/>
        <v>#N/A</v>
      </c>
    </row>
    <row r="75" spans="1:14" ht="45" customHeight="1">
      <c r="A75" s="135"/>
      <c r="B75" s="129"/>
      <c r="C75" s="136"/>
      <c r="D75" s="131"/>
      <c r="E75" s="126"/>
      <c r="F75" s="132"/>
      <c r="G75" s="133"/>
      <c r="H75" s="137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e">
        <f t="shared" si="8"/>
        <v>#N/A</v>
      </c>
    </row>
    <row r="76" spans="1:14" ht="45" customHeight="1">
      <c r="A76" s="135"/>
      <c r="B76" s="129"/>
      <c r="C76" s="136"/>
      <c r="D76" s="131"/>
      <c r="E76" s="126"/>
      <c r="F76" s="132"/>
      <c r="G76" s="133"/>
      <c r="H76" s="137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e">
        <f t="shared" si="8"/>
        <v>#N/A</v>
      </c>
    </row>
    <row r="77" spans="1:14" ht="45" customHeight="1">
      <c r="A77" s="135"/>
      <c r="B77" s="129"/>
      <c r="C77" s="136"/>
      <c r="D77" s="131"/>
      <c r="E77" s="126"/>
      <c r="F77" s="132"/>
      <c r="G77" s="133"/>
      <c r="H77" s="137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e">
        <f t="shared" si="8"/>
        <v>#N/A</v>
      </c>
    </row>
    <row r="78" spans="1:14" ht="45" customHeight="1">
      <c r="A78" s="135"/>
      <c r="B78" s="129"/>
      <c r="C78" s="136"/>
      <c r="D78" s="131"/>
      <c r="E78" s="126"/>
      <c r="F78" s="132"/>
      <c r="G78" s="133"/>
      <c r="H78" s="137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e">
        <f t="shared" si="8"/>
        <v>#N/A</v>
      </c>
    </row>
    <row r="79" spans="1:14" ht="45" customHeight="1">
      <c r="A79" s="135"/>
      <c r="B79" s="129"/>
      <c r="C79" s="136"/>
      <c r="D79" s="131"/>
      <c r="E79" s="126"/>
      <c r="F79" s="132"/>
      <c r="G79" s="133"/>
      <c r="H79" s="137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e">
        <f t="shared" si="8"/>
        <v>#N/A</v>
      </c>
    </row>
    <row r="80" spans="1:14" ht="45" customHeight="1">
      <c r="A80" s="135"/>
      <c r="B80" s="129"/>
      <c r="C80" s="136"/>
      <c r="D80" s="131"/>
      <c r="E80" s="126"/>
      <c r="F80" s="132"/>
      <c r="G80" s="133"/>
      <c r="H80" s="137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e">
        <f t="shared" si="8"/>
        <v>#N/A</v>
      </c>
    </row>
    <row r="81" spans="1:14" ht="45" customHeight="1">
      <c r="A81" s="135"/>
      <c r="B81" s="129"/>
      <c r="C81" s="136"/>
      <c r="D81" s="131"/>
      <c r="E81" s="126"/>
      <c r="F81" s="132"/>
      <c r="G81" s="133"/>
      <c r="H81" s="137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e">
        <f t="shared" si="8"/>
        <v>#N/A</v>
      </c>
    </row>
    <row r="82" spans="1:14" ht="45" customHeight="1">
      <c r="A82" s="135"/>
      <c r="B82" s="129"/>
      <c r="C82" s="136"/>
      <c r="D82" s="131"/>
      <c r="E82" s="126"/>
      <c r="F82" s="132"/>
      <c r="G82" s="133"/>
      <c r="H82" s="137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e">
        <f t="shared" si="8"/>
        <v>#N/A</v>
      </c>
    </row>
    <row r="83" spans="1:14" ht="45" customHeight="1">
      <c r="A83" s="135"/>
      <c r="B83" s="129"/>
      <c r="C83" s="136"/>
      <c r="D83" s="131"/>
      <c r="E83" s="126"/>
      <c r="F83" s="132"/>
      <c r="G83" s="133"/>
      <c r="H83" s="137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e">
        <f t="shared" si="8"/>
        <v>#N/A</v>
      </c>
    </row>
    <row r="84" spans="1:14" ht="45" customHeight="1">
      <c r="A84" s="135"/>
      <c r="B84" s="129"/>
      <c r="C84" s="136"/>
      <c r="D84" s="131"/>
      <c r="E84" s="126"/>
      <c r="F84" s="132"/>
      <c r="G84" s="133"/>
      <c r="H84" s="137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e">
        <f t="shared" si="8"/>
        <v>#N/A</v>
      </c>
    </row>
    <row r="85" spans="1:14" ht="45" customHeight="1">
      <c r="A85" s="135"/>
      <c r="B85" s="129"/>
      <c r="C85" s="136"/>
      <c r="D85" s="131"/>
      <c r="E85" s="126"/>
      <c r="F85" s="132"/>
      <c r="G85" s="133"/>
      <c r="H85" s="137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e">
        <f t="shared" si="8"/>
        <v>#N/A</v>
      </c>
    </row>
    <row r="86" spans="1:14" ht="45" customHeight="1">
      <c r="A86" s="135"/>
      <c r="B86" s="129"/>
      <c r="C86" s="136"/>
      <c r="D86" s="131"/>
      <c r="E86" s="126"/>
      <c r="F86" s="132"/>
      <c r="G86" s="133"/>
      <c r="H86" s="137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e">
        <f t="shared" si="8"/>
        <v>#N/A</v>
      </c>
    </row>
    <row r="87" spans="1:14" ht="45" customHeight="1">
      <c r="A87" s="135"/>
      <c r="B87" s="129"/>
      <c r="C87" s="136"/>
      <c r="D87" s="131"/>
      <c r="E87" s="126"/>
      <c r="F87" s="132"/>
      <c r="G87" s="133"/>
      <c r="H87" s="137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e">
        <f t="shared" si="8"/>
        <v>#N/A</v>
      </c>
    </row>
    <row r="88" spans="1:14" ht="45" customHeight="1">
      <c r="A88" s="135"/>
      <c r="B88" s="129"/>
      <c r="C88" s="136"/>
      <c r="D88" s="131"/>
      <c r="E88" s="126"/>
      <c r="F88" s="132"/>
      <c r="G88" s="133"/>
      <c r="H88" s="137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e">
        <f t="shared" si="8"/>
        <v>#N/A</v>
      </c>
    </row>
    <row r="89" spans="1:14" ht="45" customHeight="1">
      <c r="A89" s="135"/>
      <c r="B89" s="129"/>
      <c r="C89" s="136"/>
      <c r="D89" s="131"/>
      <c r="E89" s="126"/>
      <c r="F89" s="132"/>
      <c r="G89" s="133"/>
      <c r="H89" s="137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e">
        <f t="shared" si="8"/>
        <v>#N/A</v>
      </c>
    </row>
    <row r="90" spans="1:14" ht="45" customHeight="1">
      <c r="A90" s="135"/>
      <c r="B90" s="129"/>
      <c r="C90" s="136"/>
      <c r="D90" s="131"/>
      <c r="E90" s="126"/>
      <c r="F90" s="132"/>
      <c r="G90" s="133"/>
      <c r="H90" s="137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e">
        <f t="shared" si="8"/>
        <v>#N/A</v>
      </c>
    </row>
    <row r="91" spans="1:14" ht="45" customHeight="1">
      <c r="A91" s="135"/>
      <c r="B91" s="129"/>
      <c r="C91" s="136"/>
      <c r="D91" s="131"/>
      <c r="E91" s="126"/>
      <c r="F91" s="132"/>
      <c r="G91" s="133"/>
      <c r="H91" s="137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e">
        <f t="shared" si="8"/>
        <v>#N/A</v>
      </c>
    </row>
    <row r="92" spans="1:14" ht="45" customHeight="1">
      <c r="A92" s="135"/>
      <c r="B92" s="129"/>
      <c r="C92" s="136"/>
      <c r="D92" s="131"/>
      <c r="E92" s="126"/>
      <c r="F92" s="132"/>
      <c r="G92" s="133"/>
      <c r="H92" s="137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e">
        <f t="shared" si="8"/>
        <v>#N/A</v>
      </c>
    </row>
    <row r="93" spans="1:14" ht="45" customHeight="1">
      <c r="A93" s="135"/>
      <c r="B93" s="129"/>
      <c r="C93" s="136"/>
      <c r="D93" s="131"/>
      <c r="E93" s="126"/>
      <c r="F93" s="132"/>
      <c r="G93" s="133"/>
      <c r="H93" s="137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e">
        <f t="shared" si="8"/>
        <v>#N/A</v>
      </c>
    </row>
    <row r="94" spans="1:14" ht="45" customHeight="1">
      <c r="A94" s="135"/>
      <c r="B94" s="129"/>
      <c r="C94" s="136"/>
      <c r="D94" s="131"/>
      <c r="E94" s="126"/>
      <c r="F94" s="132"/>
      <c r="G94" s="133"/>
      <c r="H94" s="137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e">
        <f t="shared" si="8"/>
        <v>#N/A</v>
      </c>
    </row>
    <row r="95" spans="1:14" ht="45" customHeight="1">
      <c r="A95" s="135"/>
      <c r="B95" s="129"/>
      <c r="C95" s="136"/>
      <c r="D95" s="131"/>
      <c r="E95" s="126"/>
      <c r="F95" s="132"/>
      <c r="G95" s="133"/>
      <c r="H95" s="137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e">
        <f t="shared" si="8"/>
        <v>#N/A</v>
      </c>
    </row>
    <row r="96" spans="1:14" ht="45" customHeight="1">
      <c r="A96" s="135"/>
      <c r="B96" s="129"/>
      <c r="C96" s="136"/>
      <c r="D96" s="131"/>
      <c r="E96" s="126"/>
      <c r="F96" s="132"/>
      <c r="G96" s="133"/>
      <c r="H96" s="137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e">
        <f t="shared" si="8"/>
        <v>#N/A</v>
      </c>
    </row>
    <row r="97" spans="1:14" ht="45" customHeight="1">
      <c r="A97" s="135"/>
      <c r="B97" s="129"/>
      <c r="C97" s="136"/>
      <c r="D97" s="131"/>
      <c r="E97" s="126"/>
      <c r="F97" s="132"/>
      <c r="G97" s="133"/>
      <c r="H97" s="137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e">
        <f t="shared" si="8"/>
        <v>#N/A</v>
      </c>
    </row>
    <row r="98" spans="1:14" ht="45" customHeight="1">
      <c r="A98" s="135"/>
      <c r="B98" s="129"/>
      <c r="C98" s="136"/>
      <c r="D98" s="131"/>
      <c r="E98" s="126"/>
      <c r="F98" s="132"/>
      <c r="G98" s="133"/>
      <c r="H98" s="137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e">
        <f t="shared" si="8"/>
        <v>#N/A</v>
      </c>
    </row>
    <row r="99" spans="1:14" ht="45" customHeight="1">
      <c r="A99" s="135"/>
      <c r="B99" s="129"/>
      <c r="C99" s="136"/>
      <c r="D99" s="131"/>
      <c r="E99" s="126"/>
      <c r="F99" s="132"/>
      <c r="G99" s="133"/>
      <c r="H99" s="137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e">
        <f t="shared" si="8"/>
        <v>#N/A</v>
      </c>
    </row>
    <row r="100" spans="1:14" ht="45" customHeight="1">
      <c r="A100" s="135"/>
      <c r="B100" s="129"/>
      <c r="C100" s="136"/>
      <c r="D100" s="131"/>
      <c r="E100" s="126"/>
      <c r="F100" s="132"/>
      <c r="G100" s="133"/>
      <c r="H100" s="137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e">
        <f t="shared" si="8"/>
        <v>#N/A</v>
      </c>
    </row>
    <row r="101" spans="1:14" ht="45" customHeight="1">
      <c r="A101" s="135"/>
      <c r="B101" s="129"/>
      <c r="C101" s="136"/>
      <c r="D101" s="131"/>
      <c r="E101" s="126"/>
      <c r="F101" s="132"/>
      <c r="G101" s="133"/>
      <c r="H101" s="137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e">
        <f t="shared" si="8"/>
        <v>#N/A</v>
      </c>
    </row>
    <row r="102" spans="1:14" ht="45" customHeight="1">
      <c r="A102" s="135"/>
      <c r="B102" s="129"/>
      <c r="C102" s="136"/>
      <c r="D102" s="131"/>
      <c r="E102" s="126"/>
      <c r="F102" s="132"/>
      <c r="G102" s="133"/>
      <c r="H102" s="137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e">
        <f t="shared" si="8"/>
        <v>#N/A</v>
      </c>
    </row>
    <row r="103" spans="1:14" ht="45" customHeight="1">
      <c r="A103" s="135"/>
      <c r="B103" s="129"/>
      <c r="C103" s="136"/>
      <c r="D103" s="131"/>
      <c r="E103" s="126"/>
      <c r="F103" s="132"/>
      <c r="G103" s="133"/>
      <c r="H103" s="137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e">
        <f t="shared" si="8"/>
        <v>#N/A</v>
      </c>
    </row>
    <row r="104" spans="1:14" ht="45" customHeight="1">
      <c r="A104" s="135"/>
      <c r="B104" s="129"/>
      <c r="C104" s="136"/>
      <c r="D104" s="131"/>
      <c r="E104" s="126"/>
      <c r="F104" s="132"/>
      <c r="G104" s="133"/>
      <c r="H104" s="137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e">
        <f t="shared" si="8"/>
        <v>#N/A</v>
      </c>
    </row>
    <row r="105" spans="1:14" ht="45" customHeight="1">
      <c r="A105" s="135"/>
      <c r="B105" s="129"/>
      <c r="C105" s="136"/>
      <c r="D105" s="131"/>
      <c r="E105" s="126"/>
      <c r="F105" s="132"/>
      <c r="G105" s="133"/>
      <c r="H105" s="137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e">
        <f t="shared" si="8"/>
        <v>#N/A</v>
      </c>
    </row>
    <row r="106" spans="1:14" ht="45" customHeight="1">
      <c r="A106" s="135"/>
      <c r="B106" s="129"/>
      <c r="C106" s="136"/>
      <c r="D106" s="131"/>
      <c r="E106" s="126"/>
      <c r="F106" s="132"/>
      <c r="G106" s="133"/>
      <c r="H106" s="137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e">
        <f t="shared" si="8"/>
        <v>#N/A</v>
      </c>
    </row>
    <row r="107" spans="1:14" ht="45" customHeight="1">
      <c r="A107" s="135"/>
      <c r="B107" s="129"/>
      <c r="C107" s="136"/>
      <c r="D107" s="131"/>
      <c r="E107" s="126"/>
      <c r="F107" s="132"/>
      <c r="G107" s="133"/>
      <c r="H107" s="137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e">
        <f t="shared" si="8"/>
        <v>#N/A</v>
      </c>
    </row>
    <row r="108" spans="1:14" ht="45" customHeight="1">
      <c r="A108" s="135"/>
      <c r="B108" s="129"/>
      <c r="C108" s="136"/>
      <c r="D108" s="131"/>
      <c r="E108" s="126"/>
      <c r="F108" s="132"/>
      <c r="G108" s="133"/>
      <c r="H108" s="137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e">
        <f t="shared" si="8"/>
        <v>#N/A</v>
      </c>
    </row>
    <row r="109" spans="1:14" ht="45" customHeight="1">
      <c r="A109" s="135"/>
      <c r="B109" s="129"/>
      <c r="C109" s="136"/>
      <c r="D109" s="131"/>
      <c r="E109" s="126"/>
      <c r="F109" s="132"/>
      <c r="G109" s="133"/>
      <c r="H109" s="137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e">
        <f t="shared" si="8"/>
        <v>#N/A</v>
      </c>
    </row>
    <row r="110" spans="1:14" ht="45" customHeight="1">
      <c r="A110" s="135"/>
      <c r="B110" s="129"/>
      <c r="C110" s="136"/>
      <c r="D110" s="131"/>
      <c r="E110" s="126"/>
      <c r="F110" s="132"/>
      <c r="G110" s="133"/>
      <c r="H110" s="137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e">
        <f t="shared" si="8"/>
        <v>#N/A</v>
      </c>
    </row>
    <row r="111" spans="1:14" ht="45" customHeight="1">
      <c r="A111" s="135"/>
      <c r="B111" s="129"/>
      <c r="C111" s="136"/>
      <c r="D111" s="131"/>
      <c r="E111" s="126"/>
      <c r="F111" s="132"/>
      <c r="G111" s="133"/>
      <c r="H111" s="137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e">
        <f t="shared" si="8"/>
        <v>#N/A</v>
      </c>
    </row>
    <row r="112" spans="1:14" ht="45" customHeight="1">
      <c r="A112" s="135"/>
      <c r="B112" s="129"/>
      <c r="C112" s="136"/>
      <c r="D112" s="131"/>
      <c r="E112" s="126"/>
      <c r="F112" s="132"/>
      <c r="G112" s="133"/>
      <c r="H112" s="137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e">
        <f t="shared" si="8"/>
        <v>#N/A</v>
      </c>
    </row>
    <row r="113" spans="1:14" ht="45" customHeight="1">
      <c r="A113" s="135"/>
      <c r="B113" s="129"/>
      <c r="C113" s="136"/>
      <c r="D113" s="131"/>
      <c r="E113" s="126"/>
      <c r="F113" s="132"/>
      <c r="G113" s="133"/>
      <c r="H113" s="137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e">
        <f t="shared" si="8"/>
        <v>#N/A</v>
      </c>
    </row>
    <row r="114" spans="1:14" ht="45" customHeight="1">
      <c r="A114" s="135"/>
      <c r="B114" s="129"/>
      <c r="C114" s="136"/>
      <c r="D114" s="131"/>
      <c r="E114" s="126"/>
      <c r="F114" s="132"/>
      <c r="G114" s="133"/>
      <c r="H114" s="137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e">
        <f t="shared" si="8"/>
        <v>#N/A</v>
      </c>
    </row>
    <row r="115" spans="1:14" ht="45" customHeight="1">
      <c r="A115" s="135"/>
      <c r="B115" s="129"/>
      <c r="C115" s="136"/>
      <c r="D115" s="131"/>
      <c r="E115" s="126"/>
      <c r="F115" s="132"/>
      <c r="G115" s="133"/>
      <c r="H115" s="137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e">
        <f t="shared" si="8"/>
        <v>#N/A</v>
      </c>
    </row>
    <row r="116" spans="1:14" ht="45" customHeight="1">
      <c r="A116" s="135"/>
      <c r="B116" s="129"/>
      <c r="C116" s="136"/>
      <c r="D116" s="131"/>
      <c r="E116" s="126"/>
      <c r="F116" s="132"/>
      <c r="G116" s="133"/>
      <c r="H116" s="137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e">
        <f t="shared" si="8"/>
        <v>#N/A</v>
      </c>
    </row>
    <row r="117" spans="1:14" ht="45" customHeight="1">
      <c r="A117" s="135"/>
      <c r="B117" s="129"/>
      <c r="C117" s="136"/>
      <c r="D117" s="131"/>
      <c r="E117" s="126"/>
      <c r="F117" s="132"/>
      <c r="G117" s="133"/>
      <c r="H117" s="137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e">
        <f t="shared" si="8"/>
        <v>#N/A</v>
      </c>
    </row>
    <row r="118" spans="1:14" ht="45" customHeight="1">
      <c r="A118" s="135"/>
      <c r="B118" s="129"/>
      <c r="C118" s="136"/>
      <c r="D118" s="131"/>
      <c r="E118" s="126"/>
      <c r="F118" s="132"/>
      <c r="G118" s="133"/>
      <c r="H118" s="137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e">
        <f t="shared" si="8"/>
        <v>#N/A</v>
      </c>
    </row>
    <row r="119" spans="1:14" ht="45" customHeight="1">
      <c r="A119" s="135"/>
      <c r="B119" s="129"/>
      <c r="C119" s="136"/>
      <c r="D119" s="131"/>
      <c r="E119" s="126"/>
      <c r="F119" s="132"/>
      <c r="G119" s="133"/>
      <c r="H119" s="137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e">
        <f t="shared" si="8"/>
        <v>#N/A</v>
      </c>
    </row>
    <row r="120" spans="1:14" ht="45" customHeight="1">
      <c r="A120" s="135"/>
      <c r="B120" s="129"/>
      <c r="C120" s="136"/>
      <c r="D120" s="131"/>
      <c r="E120" s="126"/>
      <c r="F120" s="132"/>
      <c r="G120" s="133"/>
      <c r="H120" s="137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e">
        <f t="shared" si="8"/>
        <v>#N/A</v>
      </c>
    </row>
    <row r="121" spans="1:14" ht="45" customHeight="1">
      <c r="A121" s="135"/>
      <c r="B121" s="129"/>
      <c r="C121" s="136"/>
      <c r="D121" s="131"/>
      <c r="E121" s="126"/>
      <c r="F121" s="132"/>
      <c r="G121" s="133"/>
      <c r="H121" s="137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e">
        <f t="shared" si="8"/>
        <v>#N/A</v>
      </c>
    </row>
    <row r="122" spans="1:14" ht="45" customHeight="1">
      <c r="A122" s="135"/>
      <c r="B122" s="129"/>
      <c r="C122" s="136"/>
      <c r="D122" s="131"/>
      <c r="E122" s="126"/>
      <c r="F122" s="132"/>
      <c r="G122" s="133"/>
      <c r="H122" s="137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e">
        <f t="shared" si="8"/>
        <v>#N/A</v>
      </c>
    </row>
    <row r="123" spans="1:14" ht="45" customHeight="1">
      <c r="A123" s="135"/>
      <c r="B123" s="129"/>
      <c r="C123" s="136"/>
      <c r="D123" s="131"/>
      <c r="E123" s="126"/>
      <c r="F123" s="132"/>
      <c r="G123" s="133"/>
      <c r="H123" s="137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e">
        <f t="shared" si="8"/>
        <v>#N/A</v>
      </c>
    </row>
    <row r="124" spans="1:14" ht="45" customHeight="1">
      <c r="A124" s="135"/>
      <c r="B124" s="129"/>
      <c r="C124" s="136"/>
      <c r="D124" s="131"/>
      <c r="E124" s="126"/>
      <c r="F124" s="132"/>
      <c r="G124" s="133"/>
      <c r="H124" s="137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e">
        <f t="shared" si="8"/>
        <v>#N/A</v>
      </c>
    </row>
    <row r="125" spans="1:14" ht="45" customHeight="1">
      <c r="A125" s="135"/>
      <c r="B125" s="129"/>
      <c r="C125" s="136"/>
      <c r="D125" s="131"/>
      <c r="E125" s="126"/>
      <c r="F125" s="132"/>
      <c r="G125" s="133"/>
      <c r="H125" s="137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e">
        <f t="shared" si="8"/>
        <v>#N/A</v>
      </c>
    </row>
    <row r="126" spans="1:14" ht="45" customHeight="1">
      <c r="A126" s="135"/>
      <c r="B126" s="129"/>
      <c r="C126" s="136"/>
      <c r="D126" s="131"/>
      <c r="E126" s="126"/>
      <c r="F126" s="132"/>
      <c r="G126" s="133"/>
      <c r="H126" s="137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e">
        <f t="shared" si="8"/>
        <v>#N/A</v>
      </c>
    </row>
    <row r="127" spans="1:14" ht="45" customHeight="1">
      <c r="A127" s="135"/>
      <c r="B127" s="129"/>
      <c r="C127" s="136"/>
      <c r="D127" s="131"/>
      <c r="E127" s="126"/>
      <c r="F127" s="132"/>
      <c r="G127" s="133"/>
      <c r="H127" s="137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e">
        <f t="shared" si="8"/>
        <v>#N/A</v>
      </c>
    </row>
    <row r="128" spans="1:14" ht="45" customHeight="1">
      <c r="A128" s="135"/>
      <c r="B128" s="129"/>
      <c r="C128" s="136"/>
      <c r="D128" s="131"/>
      <c r="E128" s="126"/>
      <c r="F128" s="132"/>
      <c r="G128" s="133"/>
      <c r="H128" s="137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e">
        <f t="shared" si="8"/>
        <v>#N/A</v>
      </c>
    </row>
    <row r="129" spans="1:14" ht="45" customHeight="1">
      <c r="A129" s="135"/>
      <c r="B129" s="129"/>
      <c r="C129" s="136"/>
      <c r="D129" s="131"/>
      <c r="E129" s="126"/>
      <c r="F129" s="132"/>
      <c r="G129" s="133"/>
      <c r="H129" s="137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e">
        <f t="shared" si="8"/>
        <v>#N/A</v>
      </c>
    </row>
    <row r="130" spans="1:14" ht="45" customHeight="1">
      <c r="A130" s="135"/>
      <c r="B130" s="129"/>
      <c r="C130" s="136"/>
      <c r="D130" s="131"/>
      <c r="E130" s="126"/>
      <c r="F130" s="132"/>
      <c r="G130" s="133"/>
      <c r="H130" s="137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e">
        <f t="shared" si="8"/>
        <v>#N/A</v>
      </c>
    </row>
    <row r="131" spans="1:14" ht="45" customHeight="1">
      <c r="A131" s="135"/>
      <c r="B131" s="129"/>
      <c r="C131" s="136"/>
      <c r="D131" s="131"/>
      <c r="E131" s="126"/>
      <c r="F131" s="132"/>
      <c r="G131" s="133"/>
      <c r="H131" s="137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e">
        <f t="shared" si="8"/>
        <v>#N/A</v>
      </c>
    </row>
    <row r="132" spans="1:14" ht="45" customHeight="1">
      <c r="A132" s="135"/>
      <c r="B132" s="129"/>
      <c r="C132" s="136"/>
      <c r="D132" s="131"/>
      <c r="E132" s="126"/>
      <c r="F132" s="132"/>
      <c r="G132" s="133"/>
      <c r="H132" s="137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e">
        <f t="shared" ref="N132:N195" si="13">AND($M$1="Flat Rate",M132="Staff_Costs")</f>
        <v>#N/A</v>
      </c>
    </row>
    <row r="133" spans="1:14" ht="45" customHeight="1">
      <c r="A133" s="135"/>
      <c r="B133" s="129"/>
      <c r="C133" s="136"/>
      <c r="D133" s="131"/>
      <c r="E133" s="126"/>
      <c r="F133" s="132"/>
      <c r="G133" s="133"/>
      <c r="H133" s="137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e">
        <f t="shared" si="13"/>
        <v>#N/A</v>
      </c>
    </row>
    <row r="134" spans="1:14" ht="45" customHeight="1">
      <c r="A134" s="135"/>
      <c r="B134" s="129"/>
      <c r="C134" s="136"/>
      <c r="D134" s="131"/>
      <c r="E134" s="126"/>
      <c r="F134" s="132"/>
      <c r="G134" s="133"/>
      <c r="H134" s="137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e">
        <f t="shared" si="13"/>
        <v>#N/A</v>
      </c>
    </row>
    <row r="135" spans="1:14" ht="45" customHeight="1">
      <c r="A135" s="135"/>
      <c r="B135" s="129"/>
      <c r="C135" s="136"/>
      <c r="D135" s="131"/>
      <c r="E135" s="126"/>
      <c r="F135" s="132"/>
      <c r="G135" s="133"/>
      <c r="H135" s="137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e">
        <f t="shared" si="13"/>
        <v>#N/A</v>
      </c>
    </row>
    <row r="136" spans="1:14" ht="45" customHeight="1">
      <c r="A136" s="135"/>
      <c r="B136" s="129"/>
      <c r="C136" s="136"/>
      <c r="D136" s="131"/>
      <c r="E136" s="126"/>
      <c r="F136" s="132"/>
      <c r="G136" s="133"/>
      <c r="H136" s="137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e">
        <f t="shared" si="13"/>
        <v>#N/A</v>
      </c>
    </row>
    <row r="137" spans="1:14" ht="45" customHeight="1">
      <c r="A137" s="135"/>
      <c r="B137" s="129"/>
      <c r="C137" s="136"/>
      <c r="D137" s="131"/>
      <c r="E137" s="126"/>
      <c r="F137" s="132"/>
      <c r="G137" s="133"/>
      <c r="H137" s="137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e">
        <f t="shared" si="13"/>
        <v>#N/A</v>
      </c>
    </row>
    <row r="138" spans="1:14" ht="45" customHeight="1">
      <c r="A138" s="135"/>
      <c r="B138" s="129"/>
      <c r="C138" s="136"/>
      <c r="D138" s="131"/>
      <c r="E138" s="126"/>
      <c r="F138" s="132"/>
      <c r="G138" s="133"/>
      <c r="H138" s="137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e">
        <f t="shared" si="13"/>
        <v>#N/A</v>
      </c>
    </row>
    <row r="139" spans="1:14" ht="45" customHeight="1">
      <c r="A139" s="135"/>
      <c r="B139" s="129"/>
      <c r="C139" s="136"/>
      <c r="D139" s="131"/>
      <c r="E139" s="126"/>
      <c r="F139" s="132"/>
      <c r="G139" s="133"/>
      <c r="H139" s="137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e">
        <f t="shared" si="13"/>
        <v>#N/A</v>
      </c>
    </row>
    <row r="140" spans="1:14" ht="45" customHeight="1">
      <c r="A140" s="135"/>
      <c r="B140" s="129"/>
      <c r="C140" s="136"/>
      <c r="D140" s="131"/>
      <c r="E140" s="126"/>
      <c r="F140" s="132"/>
      <c r="G140" s="133"/>
      <c r="H140" s="137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e">
        <f t="shared" si="13"/>
        <v>#N/A</v>
      </c>
    </row>
    <row r="141" spans="1:14" ht="45" customHeight="1">
      <c r="A141" s="135"/>
      <c r="B141" s="129"/>
      <c r="C141" s="136"/>
      <c r="D141" s="131"/>
      <c r="E141" s="126"/>
      <c r="F141" s="132"/>
      <c r="G141" s="133"/>
      <c r="H141" s="137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e">
        <f t="shared" si="13"/>
        <v>#N/A</v>
      </c>
    </row>
    <row r="142" spans="1:14" ht="45" customHeight="1">
      <c r="A142" s="135"/>
      <c r="B142" s="129"/>
      <c r="C142" s="136"/>
      <c r="D142" s="131"/>
      <c r="E142" s="126"/>
      <c r="F142" s="132"/>
      <c r="G142" s="133"/>
      <c r="H142" s="137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e">
        <f t="shared" si="13"/>
        <v>#N/A</v>
      </c>
    </row>
    <row r="143" spans="1:14" ht="45" customHeight="1">
      <c r="A143" s="135"/>
      <c r="B143" s="129"/>
      <c r="C143" s="136"/>
      <c r="D143" s="131"/>
      <c r="E143" s="126"/>
      <c r="F143" s="132"/>
      <c r="G143" s="133"/>
      <c r="H143" s="137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e">
        <f t="shared" si="13"/>
        <v>#N/A</v>
      </c>
    </row>
    <row r="144" spans="1:14" ht="45" customHeight="1">
      <c r="A144" s="135"/>
      <c r="B144" s="129"/>
      <c r="C144" s="136"/>
      <c r="D144" s="131"/>
      <c r="E144" s="126"/>
      <c r="F144" s="132"/>
      <c r="G144" s="133"/>
      <c r="H144" s="137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e">
        <f t="shared" si="13"/>
        <v>#N/A</v>
      </c>
    </row>
    <row r="145" spans="1:14" ht="45" customHeight="1">
      <c r="A145" s="135"/>
      <c r="B145" s="129"/>
      <c r="C145" s="136"/>
      <c r="D145" s="131"/>
      <c r="E145" s="126"/>
      <c r="F145" s="132"/>
      <c r="G145" s="133"/>
      <c r="H145" s="137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e">
        <f t="shared" si="13"/>
        <v>#N/A</v>
      </c>
    </row>
    <row r="146" spans="1:14" ht="45" customHeight="1">
      <c r="A146" s="135"/>
      <c r="B146" s="129"/>
      <c r="C146" s="136"/>
      <c r="D146" s="131"/>
      <c r="E146" s="126"/>
      <c r="F146" s="132"/>
      <c r="G146" s="133"/>
      <c r="H146" s="137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e">
        <f t="shared" si="13"/>
        <v>#N/A</v>
      </c>
    </row>
    <row r="147" spans="1:14" ht="45" customHeight="1">
      <c r="A147" s="135"/>
      <c r="B147" s="129"/>
      <c r="C147" s="136"/>
      <c r="D147" s="131"/>
      <c r="E147" s="126"/>
      <c r="F147" s="132"/>
      <c r="G147" s="133"/>
      <c r="H147" s="137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e">
        <f t="shared" si="13"/>
        <v>#N/A</v>
      </c>
    </row>
    <row r="148" spans="1:14" ht="45" customHeight="1">
      <c r="A148" s="135"/>
      <c r="B148" s="129"/>
      <c r="C148" s="136"/>
      <c r="D148" s="131"/>
      <c r="E148" s="126"/>
      <c r="F148" s="132"/>
      <c r="G148" s="133"/>
      <c r="H148" s="137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e">
        <f t="shared" si="13"/>
        <v>#N/A</v>
      </c>
    </row>
    <row r="149" spans="1:14" ht="45" customHeight="1">
      <c r="A149" s="135"/>
      <c r="B149" s="129"/>
      <c r="C149" s="136"/>
      <c r="D149" s="131"/>
      <c r="E149" s="126"/>
      <c r="F149" s="132"/>
      <c r="G149" s="133"/>
      <c r="H149" s="137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e">
        <f t="shared" si="13"/>
        <v>#N/A</v>
      </c>
    </row>
    <row r="150" spans="1:14" ht="45" customHeight="1">
      <c r="A150" s="135"/>
      <c r="B150" s="129"/>
      <c r="C150" s="136"/>
      <c r="D150" s="131"/>
      <c r="E150" s="126"/>
      <c r="F150" s="132"/>
      <c r="G150" s="133"/>
      <c r="H150" s="137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e">
        <f t="shared" si="13"/>
        <v>#N/A</v>
      </c>
    </row>
    <row r="151" spans="1:14" ht="45" customHeight="1">
      <c r="A151" s="135"/>
      <c r="B151" s="129"/>
      <c r="C151" s="136"/>
      <c r="D151" s="131"/>
      <c r="E151" s="126"/>
      <c r="F151" s="132"/>
      <c r="G151" s="133"/>
      <c r="H151" s="137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e">
        <f t="shared" si="13"/>
        <v>#N/A</v>
      </c>
    </row>
    <row r="152" spans="1:14" ht="45" customHeight="1">
      <c r="A152" s="135"/>
      <c r="B152" s="129"/>
      <c r="C152" s="136"/>
      <c r="D152" s="131"/>
      <c r="E152" s="126"/>
      <c r="F152" s="132"/>
      <c r="G152" s="133"/>
      <c r="H152" s="137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e">
        <f t="shared" si="13"/>
        <v>#N/A</v>
      </c>
    </row>
    <row r="153" spans="1:14" ht="45" customHeight="1">
      <c r="A153" s="135"/>
      <c r="B153" s="129"/>
      <c r="C153" s="136"/>
      <c r="D153" s="131"/>
      <c r="E153" s="126"/>
      <c r="F153" s="132"/>
      <c r="G153" s="133"/>
      <c r="H153" s="137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e">
        <f t="shared" si="13"/>
        <v>#N/A</v>
      </c>
    </row>
    <row r="154" spans="1:14" ht="45" customHeight="1">
      <c r="A154" s="135"/>
      <c r="B154" s="129"/>
      <c r="C154" s="136"/>
      <c r="D154" s="131"/>
      <c r="E154" s="126"/>
      <c r="F154" s="132"/>
      <c r="G154" s="133"/>
      <c r="H154" s="137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e">
        <f t="shared" si="13"/>
        <v>#N/A</v>
      </c>
    </row>
    <row r="155" spans="1:14" ht="45" customHeight="1">
      <c r="A155" s="135"/>
      <c r="B155" s="129"/>
      <c r="C155" s="136"/>
      <c r="D155" s="131"/>
      <c r="E155" s="126"/>
      <c r="F155" s="132"/>
      <c r="G155" s="133"/>
      <c r="H155" s="137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e">
        <f t="shared" si="13"/>
        <v>#N/A</v>
      </c>
    </row>
    <row r="156" spans="1:14" ht="45" customHeight="1">
      <c r="A156" s="135"/>
      <c r="B156" s="129"/>
      <c r="C156" s="136"/>
      <c r="D156" s="131"/>
      <c r="E156" s="126"/>
      <c r="F156" s="132"/>
      <c r="G156" s="133"/>
      <c r="H156" s="137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e">
        <f t="shared" si="13"/>
        <v>#N/A</v>
      </c>
    </row>
    <row r="157" spans="1:14" ht="45" customHeight="1">
      <c r="A157" s="135"/>
      <c r="B157" s="129"/>
      <c r="C157" s="136"/>
      <c r="D157" s="131"/>
      <c r="E157" s="126"/>
      <c r="F157" s="132"/>
      <c r="G157" s="133"/>
      <c r="H157" s="137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e">
        <f t="shared" si="13"/>
        <v>#N/A</v>
      </c>
    </row>
    <row r="158" spans="1:14" ht="45" customHeight="1">
      <c r="A158" s="135"/>
      <c r="B158" s="129"/>
      <c r="C158" s="136"/>
      <c r="D158" s="131"/>
      <c r="E158" s="126"/>
      <c r="F158" s="132"/>
      <c r="G158" s="133"/>
      <c r="H158" s="137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e">
        <f t="shared" si="13"/>
        <v>#N/A</v>
      </c>
    </row>
    <row r="159" spans="1:14" ht="45" customHeight="1">
      <c r="A159" s="135"/>
      <c r="B159" s="129"/>
      <c r="C159" s="136"/>
      <c r="D159" s="131"/>
      <c r="E159" s="126"/>
      <c r="F159" s="132"/>
      <c r="G159" s="133"/>
      <c r="H159" s="137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e">
        <f t="shared" si="13"/>
        <v>#N/A</v>
      </c>
    </row>
    <row r="160" spans="1:14" ht="45" customHeight="1">
      <c r="A160" s="135"/>
      <c r="B160" s="129"/>
      <c r="C160" s="136"/>
      <c r="D160" s="131"/>
      <c r="E160" s="126"/>
      <c r="F160" s="132"/>
      <c r="G160" s="133"/>
      <c r="H160" s="137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e">
        <f t="shared" si="13"/>
        <v>#N/A</v>
      </c>
    </row>
    <row r="161" spans="1:14" ht="45" customHeight="1">
      <c r="A161" s="135"/>
      <c r="B161" s="129"/>
      <c r="C161" s="136"/>
      <c r="D161" s="131"/>
      <c r="E161" s="126"/>
      <c r="F161" s="132"/>
      <c r="G161" s="133"/>
      <c r="H161" s="137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e">
        <f t="shared" si="13"/>
        <v>#N/A</v>
      </c>
    </row>
    <row r="162" spans="1:14" ht="45" customHeight="1">
      <c r="A162" s="135"/>
      <c r="B162" s="129"/>
      <c r="C162" s="136"/>
      <c r="D162" s="131"/>
      <c r="E162" s="126"/>
      <c r="F162" s="132"/>
      <c r="G162" s="133"/>
      <c r="H162" s="137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e">
        <f t="shared" si="13"/>
        <v>#N/A</v>
      </c>
    </row>
    <row r="163" spans="1:14" ht="45" customHeight="1">
      <c r="A163" s="135"/>
      <c r="B163" s="129"/>
      <c r="C163" s="136"/>
      <c r="D163" s="131"/>
      <c r="E163" s="126"/>
      <c r="F163" s="132"/>
      <c r="G163" s="133"/>
      <c r="H163" s="137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e">
        <f t="shared" si="13"/>
        <v>#N/A</v>
      </c>
    </row>
    <row r="164" spans="1:14" ht="45" customHeight="1">
      <c r="A164" s="135"/>
      <c r="B164" s="129"/>
      <c r="C164" s="136"/>
      <c r="D164" s="131"/>
      <c r="E164" s="126"/>
      <c r="F164" s="132"/>
      <c r="G164" s="133"/>
      <c r="H164" s="137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e">
        <f t="shared" si="13"/>
        <v>#N/A</v>
      </c>
    </row>
    <row r="165" spans="1:14" ht="45" customHeight="1">
      <c r="A165" s="135"/>
      <c r="B165" s="129"/>
      <c r="C165" s="136"/>
      <c r="D165" s="131"/>
      <c r="E165" s="126"/>
      <c r="F165" s="132"/>
      <c r="G165" s="133"/>
      <c r="H165" s="137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e">
        <f t="shared" si="13"/>
        <v>#N/A</v>
      </c>
    </row>
    <row r="166" spans="1:14" ht="45" customHeight="1">
      <c r="A166" s="135"/>
      <c r="B166" s="129"/>
      <c r="C166" s="136"/>
      <c r="D166" s="131"/>
      <c r="E166" s="126"/>
      <c r="F166" s="132"/>
      <c r="G166" s="133"/>
      <c r="H166" s="137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e">
        <f t="shared" si="13"/>
        <v>#N/A</v>
      </c>
    </row>
    <row r="167" spans="1:14" ht="45" customHeight="1">
      <c r="A167" s="135"/>
      <c r="B167" s="129"/>
      <c r="C167" s="136"/>
      <c r="D167" s="131"/>
      <c r="E167" s="126"/>
      <c r="F167" s="132"/>
      <c r="G167" s="133"/>
      <c r="H167" s="137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e">
        <f t="shared" si="13"/>
        <v>#N/A</v>
      </c>
    </row>
    <row r="168" spans="1:14" ht="45" customHeight="1">
      <c r="A168" s="135"/>
      <c r="B168" s="129"/>
      <c r="C168" s="136"/>
      <c r="D168" s="131"/>
      <c r="E168" s="126"/>
      <c r="F168" s="132"/>
      <c r="G168" s="133"/>
      <c r="H168" s="137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e">
        <f t="shared" si="13"/>
        <v>#N/A</v>
      </c>
    </row>
    <row r="169" spans="1:14" ht="45" customHeight="1">
      <c r="A169" s="135"/>
      <c r="B169" s="129"/>
      <c r="C169" s="136"/>
      <c r="D169" s="131"/>
      <c r="E169" s="126"/>
      <c r="F169" s="132"/>
      <c r="G169" s="133"/>
      <c r="H169" s="137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e">
        <f t="shared" si="13"/>
        <v>#N/A</v>
      </c>
    </row>
    <row r="170" spans="1:14" ht="45" customHeight="1">
      <c r="A170" s="135"/>
      <c r="B170" s="129"/>
      <c r="C170" s="136"/>
      <c r="D170" s="131"/>
      <c r="E170" s="126"/>
      <c r="F170" s="132"/>
      <c r="G170" s="133"/>
      <c r="H170" s="137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e">
        <f t="shared" si="13"/>
        <v>#N/A</v>
      </c>
    </row>
    <row r="171" spans="1:14" ht="45" customHeight="1">
      <c r="A171" s="135"/>
      <c r="B171" s="129"/>
      <c r="C171" s="136"/>
      <c r="D171" s="131"/>
      <c r="E171" s="126"/>
      <c r="F171" s="132"/>
      <c r="G171" s="133"/>
      <c r="H171" s="137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e">
        <f t="shared" si="13"/>
        <v>#N/A</v>
      </c>
    </row>
    <row r="172" spans="1:14" ht="45" customHeight="1">
      <c r="A172" s="135"/>
      <c r="B172" s="129"/>
      <c r="C172" s="136"/>
      <c r="D172" s="131"/>
      <c r="E172" s="126"/>
      <c r="F172" s="132"/>
      <c r="G172" s="133"/>
      <c r="H172" s="137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e">
        <f t="shared" si="13"/>
        <v>#N/A</v>
      </c>
    </row>
    <row r="173" spans="1:14" ht="45" customHeight="1">
      <c r="A173" s="135"/>
      <c r="B173" s="129"/>
      <c r="C173" s="136"/>
      <c r="D173" s="131"/>
      <c r="E173" s="126"/>
      <c r="F173" s="132"/>
      <c r="G173" s="133"/>
      <c r="H173" s="137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e">
        <f t="shared" si="13"/>
        <v>#N/A</v>
      </c>
    </row>
    <row r="174" spans="1:14" ht="45" customHeight="1">
      <c r="A174" s="135"/>
      <c r="B174" s="129"/>
      <c r="C174" s="136"/>
      <c r="D174" s="131"/>
      <c r="E174" s="126"/>
      <c r="F174" s="132"/>
      <c r="G174" s="133"/>
      <c r="H174" s="137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e">
        <f t="shared" si="13"/>
        <v>#N/A</v>
      </c>
    </row>
    <row r="175" spans="1:14" ht="45" customHeight="1">
      <c r="A175" s="135"/>
      <c r="B175" s="129"/>
      <c r="C175" s="136"/>
      <c r="D175" s="131"/>
      <c r="E175" s="126"/>
      <c r="F175" s="132"/>
      <c r="G175" s="133"/>
      <c r="H175" s="137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e">
        <f t="shared" si="13"/>
        <v>#N/A</v>
      </c>
    </row>
    <row r="176" spans="1:14" ht="45" customHeight="1">
      <c r="A176" s="135"/>
      <c r="B176" s="129"/>
      <c r="C176" s="136"/>
      <c r="D176" s="131"/>
      <c r="E176" s="126"/>
      <c r="F176" s="132"/>
      <c r="G176" s="133"/>
      <c r="H176" s="137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e">
        <f t="shared" si="13"/>
        <v>#N/A</v>
      </c>
    </row>
    <row r="177" spans="1:14" ht="45" customHeight="1">
      <c r="A177" s="135"/>
      <c r="B177" s="129"/>
      <c r="C177" s="136"/>
      <c r="D177" s="131"/>
      <c r="E177" s="126"/>
      <c r="F177" s="132"/>
      <c r="G177" s="133"/>
      <c r="H177" s="137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e">
        <f t="shared" si="13"/>
        <v>#N/A</v>
      </c>
    </row>
    <row r="178" spans="1:14" ht="45" customHeight="1">
      <c r="A178" s="135"/>
      <c r="B178" s="129"/>
      <c r="C178" s="136"/>
      <c r="D178" s="131"/>
      <c r="E178" s="126"/>
      <c r="F178" s="132"/>
      <c r="G178" s="133"/>
      <c r="H178" s="137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e">
        <f t="shared" si="13"/>
        <v>#N/A</v>
      </c>
    </row>
    <row r="179" spans="1:14" ht="45" customHeight="1">
      <c r="A179" s="135"/>
      <c r="B179" s="129"/>
      <c r="C179" s="136"/>
      <c r="D179" s="131"/>
      <c r="E179" s="126"/>
      <c r="F179" s="132"/>
      <c r="G179" s="133"/>
      <c r="H179" s="137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e">
        <f t="shared" si="13"/>
        <v>#N/A</v>
      </c>
    </row>
    <row r="180" spans="1:14" ht="45" customHeight="1">
      <c r="A180" s="135"/>
      <c r="B180" s="129"/>
      <c r="C180" s="136"/>
      <c r="D180" s="131"/>
      <c r="E180" s="126"/>
      <c r="F180" s="132"/>
      <c r="G180" s="133"/>
      <c r="H180" s="137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e">
        <f t="shared" si="13"/>
        <v>#N/A</v>
      </c>
    </row>
    <row r="181" spans="1:14" ht="45" customHeight="1">
      <c r="A181" s="135"/>
      <c r="B181" s="129"/>
      <c r="C181" s="136"/>
      <c r="D181" s="131"/>
      <c r="E181" s="126"/>
      <c r="F181" s="132"/>
      <c r="G181" s="133"/>
      <c r="H181" s="137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e">
        <f t="shared" si="13"/>
        <v>#N/A</v>
      </c>
    </row>
    <row r="182" spans="1:14" ht="45" customHeight="1">
      <c r="A182" s="135"/>
      <c r="B182" s="129"/>
      <c r="C182" s="136"/>
      <c r="D182" s="131"/>
      <c r="E182" s="126"/>
      <c r="F182" s="132"/>
      <c r="G182" s="133"/>
      <c r="H182" s="137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e">
        <f t="shared" si="13"/>
        <v>#N/A</v>
      </c>
    </row>
    <row r="183" spans="1:14" ht="45" customHeight="1">
      <c r="A183" s="135"/>
      <c r="B183" s="129"/>
      <c r="C183" s="136"/>
      <c r="D183" s="131"/>
      <c r="E183" s="126"/>
      <c r="F183" s="132"/>
      <c r="G183" s="133"/>
      <c r="H183" s="137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e">
        <f t="shared" si="13"/>
        <v>#N/A</v>
      </c>
    </row>
    <row r="184" spans="1:14" ht="45" customHeight="1">
      <c r="A184" s="135"/>
      <c r="B184" s="129"/>
      <c r="C184" s="136"/>
      <c r="D184" s="131"/>
      <c r="E184" s="126"/>
      <c r="F184" s="132"/>
      <c r="G184" s="133"/>
      <c r="H184" s="137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e">
        <f t="shared" si="13"/>
        <v>#N/A</v>
      </c>
    </row>
    <row r="185" spans="1:14" ht="45" customHeight="1">
      <c r="A185" s="135"/>
      <c r="B185" s="129"/>
      <c r="C185" s="136"/>
      <c r="D185" s="131"/>
      <c r="E185" s="126"/>
      <c r="F185" s="132"/>
      <c r="G185" s="133"/>
      <c r="H185" s="137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e">
        <f t="shared" si="13"/>
        <v>#N/A</v>
      </c>
    </row>
    <row r="186" spans="1:14" ht="45" customHeight="1">
      <c r="A186" s="135"/>
      <c r="B186" s="129"/>
      <c r="C186" s="136"/>
      <c r="D186" s="131"/>
      <c r="E186" s="126"/>
      <c r="F186" s="132"/>
      <c r="G186" s="133"/>
      <c r="H186" s="137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e">
        <f t="shared" si="13"/>
        <v>#N/A</v>
      </c>
    </row>
    <row r="187" spans="1:14" ht="45" customHeight="1">
      <c r="A187" s="135"/>
      <c r="B187" s="129"/>
      <c r="C187" s="136"/>
      <c r="D187" s="131"/>
      <c r="E187" s="126"/>
      <c r="F187" s="132"/>
      <c r="G187" s="133"/>
      <c r="H187" s="137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e">
        <f t="shared" si="13"/>
        <v>#N/A</v>
      </c>
    </row>
    <row r="188" spans="1:14" ht="45" customHeight="1">
      <c r="A188" s="135"/>
      <c r="B188" s="129"/>
      <c r="C188" s="136"/>
      <c r="D188" s="131"/>
      <c r="E188" s="126"/>
      <c r="F188" s="132"/>
      <c r="G188" s="133"/>
      <c r="H188" s="137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e">
        <f t="shared" si="13"/>
        <v>#N/A</v>
      </c>
    </row>
    <row r="189" spans="1:14" ht="45" customHeight="1">
      <c r="A189" s="135"/>
      <c r="B189" s="129"/>
      <c r="C189" s="136"/>
      <c r="D189" s="131"/>
      <c r="E189" s="126"/>
      <c r="F189" s="132"/>
      <c r="G189" s="133"/>
      <c r="H189" s="137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e">
        <f t="shared" si="13"/>
        <v>#N/A</v>
      </c>
    </row>
    <row r="190" spans="1:14" ht="45" customHeight="1">
      <c r="A190" s="135"/>
      <c r="B190" s="129"/>
      <c r="C190" s="136"/>
      <c r="D190" s="131"/>
      <c r="E190" s="126"/>
      <c r="F190" s="132"/>
      <c r="G190" s="133"/>
      <c r="H190" s="137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e">
        <f t="shared" si="13"/>
        <v>#N/A</v>
      </c>
    </row>
    <row r="191" spans="1:14" ht="45" customHeight="1">
      <c r="A191" s="135"/>
      <c r="B191" s="129"/>
      <c r="C191" s="136"/>
      <c r="D191" s="131"/>
      <c r="E191" s="126"/>
      <c r="F191" s="132"/>
      <c r="G191" s="133"/>
      <c r="H191" s="137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e">
        <f t="shared" si="13"/>
        <v>#N/A</v>
      </c>
    </row>
    <row r="192" spans="1:14" ht="45" customHeight="1">
      <c r="A192" s="135"/>
      <c r="B192" s="129"/>
      <c r="C192" s="136"/>
      <c r="D192" s="131"/>
      <c r="E192" s="126"/>
      <c r="F192" s="132"/>
      <c r="G192" s="133"/>
      <c r="H192" s="137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e">
        <f t="shared" si="13"/>
        <v>#N/A</v>
      </c>
    </row>
    <row r="193" spans="1:16" ht="45" customHeight="1">
      <c r="A193" s="135"/>
      <c r="B193" s="129"/>
      <c r="C193" s="136"/>
      <c r="D193" s="131"/>
      <c r="E193" s="126"/>
      <c r="F193" s="132"/>
      <c r="G193" s="133"/>
      <c r="H193" s="137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e">
        <f t="shared" si="13"/>
        <v>#N/A</v>
      </c>
    </row>
    <row r="194" spans="1:16" ht="45" customHeight="1">
      <c r="A194" s="135"/>
      <c r="B194" s="129"/>
      <c r="C194" s="136"/>
      <c r="D194" s="131"/>
      <c r="E194" s="126"/>
      <c r="F194" s="132"/>
      <c r="G194" s="133"/>
      <c r="H194" s="137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e">
        <f t="shared" si="13"/>
        <v>#N/A</v>
      </c>
    </row>
    <row r="195" spans="1:16" ht="45" customHeight="1">
      <c r="A195" s="135"/>
      <c r="B195" s="129"/>
      <c r="C195" s="136"/>
      <c r="D195" s="131"/>
      <c r="E195" s="126"/>
      <c r="F195" s="132"/>
      <c r="G195" s="133"/>
      <c r="H195" s="137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e">
        <f t="shared" si="13"/>
        <v>#N/A</v>
      </c>
    </row>
    <row r="196" spans="1:16" ht="45" customHeight="1">
      <c r="A196" s="135"/>
      <c r="B196" s="129"/>
      <c r="C196" s="136"/>
      <c r="D196" s="131"/>
      <c r="E196" s="126"/>
      <c r="F196" s="132"/>
      <c r="G196" s="133"/>
      <c r="H196" s="137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e">
        <f t="shared" ref="N196:N201" si="18">AND($M$1="Flat Rate",M196="Staff_Costs")</f>
        <v>#N/A</v>
      </c>
    </row>
    <row r="197" spans="1:16" ht="45" customHeight="1">
      <c r="A197" s="135"/>
      <c r="B197" s="129"/>
      <c r="C197" s="136"/>
      <c r="D197" s="131"/>
      <c r="E197" s="126"/>
      <c r="F197" s="132"/>
      <c r="G197" s="133"/>
      <c r="H197" s="137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e">
        <f t="shared" si="18"/>
        <v>#N/A</v>
      </c>
    </row>
    <row r="198" spans="1:16" ht="47.25" customHeight="1">
      <c r="A198" s="135"/>
      <c r="B198" s="129"/>
      <c r="C198" s="136"/>
      <c r="D198" s="131"/>
      <c r="E198" s="126"/>
      <c r="F198" s="132"/>
      <c r="G198" s="133"/>
      <c r="H198" s="137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e">
        <f t="shared" si="18"/>
        <v>#N/A</v>
      </c>
    </row>
    <row r="199" spans="1:16" ht="47.25" customHeight="1">
      <c r="A199" s="135"/>
      <c r="B199" s="129"/>
      <c r="C199" s="136"/>
      <c r="D199" s="131"/>
      <c r="E199" s="126"/>
      <c r="F199" s="132"/>
      <c r="G199" s="133"/>
      <c r="H199" s="137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e">
        <f t="shared" si="18"/>
        <v>#N/A</v>
      </c>
    </row>
    <row r="200" spans="1:16" ht="47.25" customHeight="1">
      <c r="A200" s="135"/>
      <c r="B200" s="129"/>
      <c r="C200" s="136"/>
      <c r="D200" s="131"/>
      <c r="E200" s="126"/>
      <c r="F200" s="132"/>
      <c r="G200" s="133"/>
      <c r="H200" s="137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e">
        <f t="shared" si="18"/>
        <v>#N/A</v>
      </c>
    </row>
    <row r="201" spans="1:16" ht="47.25" customHeight="1">
      <c r="A201" s="135"/>
      <c r="B201" s="129"/>
      <c r="C201" s="136"/>
      <c r="D201" s="131"/>
      <c r="E201" s="126"/>
      <c r="F201" s="132"/>
      <c r="G201" s="133"/>
      <c r="H201" s="137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e">
        <f t="shared" si="18"/>
        <v>#N/A</v>
      </c>
    </row>
    <row r="202" spans="1:16" ht="18.75">
      <c r="L202" t="s">
        <v>524</v>
      </c>
      <c r="M202" s="66" t="str">
        <f>IF(I1=0,"-",IF(M203=0,"No Staff Costs",IF(P204=TRUE,"ERROR",IF(N204=TRUE,"Flat Rate", IF(N204=FALSE,"Real Costs", )))))</f>
        <v>-</v>
      </c>
      <c r="N202" t="s">
        <v>521</v>
      </c>
      <c r="O202" t="s">
        <v>522</v>
      </c>
      <c r="P202" t="s">
        <v>523</v>
      </c>
    </row>
    <row r="203" spans="1:16">
      <c r="L203" t="s">
        <v>526</v>
      </c>
      <c r="M203">
        <f>COUNTIF(L3:L201,"Staff*")</f>
        <v>0</v>
      </c>
    </row>
    <row r="204" spans="1:16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>
      <c r="L205" t="s">
        <v>518</v>
      </c>
      <c r="M205">
        <f>COUNTIF(L3:L201,"Staff Costs-Real*")</f>
        <v>0</v>
      </c>
    </row>
    <row r="206" spans="1:16" ht="18.75">
      <c r="L206" t="s">
        <v>525</v>
      </c>
      <c r="M206" s="66" t="str">
        <f>IF(I1=0,"-",IF(M207=0,"No O&amp;A Costs",IF(P208=TRUE,"ERROR",IF(N208=TRUE,"Flat Rate", IF(N208=FALSE,"Real Costs", )))))</f>
        <v>-</v>
      </c>
    </row>
    <row r="207" spans="1:16">
      <c r="L207" t="s">
        <v>527</v>
      </c>
      <c r="M207">
        <f>COUNTIF(L3:L201,"Office*")</f>
        <v>0</v>
      </c>
    </row>
    <row r="208" spans="1:16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>
      <c r="L209" t="s">
        <v>520</v>
      </c>
      <c r="M209">
        <f>COUNTIF(L3:L201,"Office and Administration-Real*")</f>
        <v>0</v>
      </c>
    </row>
  </sheetData>
  <sheetProtection password="C613" sheet="1" objects="1" scenarios="1" autoFilter="0"/>
  <autoFilter ref="A2:I2"/>
  <dataConsolidate/>
  <mergeCells count="1">
    <mergeCell ref="G1:H1"/>
  </mergeCells>
  <conditionalFormatting sqref="E1:F1">
    <cfRule type="cellIs" dxfId="67" priority="8" stopIfTrue="1" operator="equal">
      <formula>0</formula>
    </cfRule>
  </conditionalFormatting>
  <conditionalFormatting sqref="I3:I201">
    <cfRule type="expression" dxfId="66" priority="7" stopIfTrue="1">
      <formula>AND(C3="",NOT(H3=""))</formula>
    </cfRule>
  </conditionalFormatting>
  <conditionalFormatting sqref="I3:I201">
    <cfRule type="expression" dxfId="65" priority="6" stopIfTrue="1">
      <formula>AND(B3="",NOT(H3=""))</formula>
    </cfRule>
  </conditionalFormatting>
  <conditionalFormatting sqref="F3">
    <cfRule type="expression" dxfId="64" priority="5" stopIfTrue="1">
      <formula>D3="Flat Rate"</formula>
    </cfRule>
  </conditionalFormatting>
  <conditionalFormatting sqref="F4:F201">
    <cfRule type="expression" dxfId="63" priority="4" stopIfTrue="1">
      <formula>D4="Flat Rate"</formula>
    </cfRule>
  </conditionalFormatting>
  <conditionalFormatting sqref="G3:G201">
    <cfRule type="expression" dxfId="62" priority="1" stopIfTrue="1">
      <formula>D3="Flat Rate"</formula>
    </cfRule>
    <cfRule type="expression" dxfId="61" priority="2" stopIfTrue="1">
      <formula>C3="Staff Costs"</formula>
    </cfRule>
    <cfRule type="expression" dxfId="60" priority="3" stopIfTrue="1">
      <formula>C3="Travel and Accommodation"</formula>
    </cfRule>
  </conditionalFormatting>
  <dataValidations count="5">
    <dataValidation type="list" allowBlank="1" showInputMessage="1" showErrorMessage="1" sqref="A3:A201">
      <formula1>WPs</formula1>
    </dataValidation>
    <dataValidation type="list" allowBlank="1" showInputMessage="1" showErrorMessage="1" sqref="C3:C201">
      <formula1>Budgetline</formula1>
    </dataValidation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sqref="B3:B201">
      <formula1>IF(A3="WP1", P5WP1, IF(A3="WP2",P5WP2,IF(A3="WP3",P5WP3,IF(A3="WP4",P5WP4,IF(A3="WP5",P5WP5,IF(A3="WP6",P5WP6,0))))))</formula1>
    </dataValidation>
    <dataValidation type="list" allowBlank="1" showInputMessage="1" showErrorMessage="1" errorTitle="Change Budget line orType" sqref="D3:D201">
      <formula1>IF(N3=TRUE,Flat,INDIRECT(M3))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4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P209"/>
  <sheetViews>
    <sheetView zoomScale="55" zoomScaleNormal="55" zoomScaleSheetLayoutView="70" workbookViewId="0">
      <selection activeCell="G62" sqref="G62"/>
    </sheetView>
  </sheetViews>
  <sheetFormatPr defaultRowHeight="1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0" width="11" hidden="1" customWidth="1"/>
    <col min="11" max="12" width="0" hidden="1" customWidth="1"/>
    <col min="13" max="13" width="15.140625" hidden="1" customWidth="1"/>
    <col min="14" max="16" width="0" hidden="1" customWidth="1"/>
  </cols>
  <sheetData>
    <row r="1" spans="1:14" ht="15.75">
      <c r="A1" s="36"/>
      <c r="B1" s="36"/>
      <c r="C1" s="36"/>
      <c r="D1" s="55" t="s">
        <v>15</v>
      </c>
      <c r="E1" s="56">
        <f>'Cover page'!C27</f>
        <v>0</v>
      </c>
      <c r="F1" s="56">
        <f>'Cover page'!G27</f>
        <v>0</v>
      </c>
      <c r="G1" s="195" t="s">
        <v>412</v>
      </c>
      <c r="H1" s="196"/>
      <c r="I1" s="52">
        <f>SUMIF(B3:B201,"D*",I3:I201)</f>
        <v>0</v>
      </c>
      <c r="M1">
        <f>'Cover page'!G33</f>
        <v>0</v>
      </c>
    </row>
    <row r="2" spans="1:14" ht="32.25" customHeight="1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L2" s="65" t="s">
        <v>516</v>
      </c>
      <c r="M2" s="65" t="s">
        <v>578</v>
      </c>
      <c r="N2" s="65" t="s">
        <v>580</v>
      </c>
    </row>
    <row r="3" spans="1:14" ht="45" customHeight="1">
      <c r="A3" s="129"/>
      <c r="B3" s="129"/>
      <c r="C3" s="130"/>
      <c r="D3" s="131"/>
      <c r="E3" s="124"/>
      <c r="F3" s="132"/>
      <c r="G3" s="133"/>
      <c r="H3" s="134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e">
        <f>AND($M$1="Flat Rate",M3="Staff_Costs")</f>
        <v>#N/A</v>
      </c>
    </row>
    <row r="4" spans="1:14" ht="45" customHeight="1">
      <c r="A4" s="135"/>
      <c r="B4" s="129"/>
      <c r="C4" s="136"/>
      <c r="D4" s="131"/>
      <c r="E4" s="124"/>
      <c r="F4" s="132"/>
      <c r="G4" s="133"/>
      <c r="H4" s="137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e">
        <f t="shared" ref="N4:N67" si="3">AND($M$1="Flat Rate",M4="Staff_Costs")</f>
        <v>#N/A</v>
      </c>
    </row>
    <row r="5" spans="1:14" ht="45" customHeight="1">
      <c r="A5" s="135"/>
      <c r="B5" s="129"/>
      <c r="C5" s="136"/>
      <c r="D5" s="131"/>
      <c r="E5" s="124"/>
      <c r="F5" s="132"/>
      <c r="G5" s="133"/>
      <c r="H5" s="137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e">
        <f t="shared" si="3"/>
        <v>#N/A</v>
      </c>
    </row>
    <row r="6" spans="1:14" ht="45" customHeight="1">
      <c r="A6" s="135"/>
      <c r="B6" s="129"/>
      <c r="C6" s="136"/>
      <c r="D6" s="131"/>
      <c r="E6" s="124"/>
      <c r="F6" s="132"/>
      <c r="G6" s="133"/>
      <c r="H6" s="137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e">
        <f t="shared" si="3"/>
        <v>#N/A</v>
      </c>
    </row>
    <row r="7" spans="1:14" ht="45" customHeight="1">
      <c r="A7" s="135"/>
      <c r="B7" s="129"/>
      <c r="C7" s="136"/>
      <c r="D7" s="131"/>
      <c r="E7" s="124"/>
      <c r="F7" s="132"/>
      <c r="G7" s="133"/>
      <c r="H7" s="137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e">
        <f t="shared" si="3"/>
        <v>#N/A</v>
      </c>
    </row>
    <row r="8" spans="1:14" ht="45" customHeight="1">
      <c r="A8" s="135"/>
      <c r="B8" s="129"/>
      <c r="C8" s="136"/>
      <c r="D8" s="131"/>
      <c r="E8" s="124"/>
      <c r="F8" s="132"/>
      <c r="G8" s="133"/>
      <c r="H8" s="137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e">
        <f t="shared" si="3"/>
        <v>#N/A</v>
      </c>
    </row>
    <row r="9" spans="1:14" ht="45" customHeight="1">
      <c r="A9" s="135"/>
      <c r="B9" s="129"/>
      <c r="C9" s="136"/>
      <c r="D9" s="131"/>
      <c r="E9" s="124"/>
      <c r="F9" s="132"/>
      <c r="G9" s="133"/>
      <c r="H9" s="137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e">
        <f t="shared" si="3"/>
        <v>#N/A</v>
      </c>
    </row>
    <row r="10" spans="1:14" ht="45" customHeight="1">
      <c r="A10" s="135"/>
      <c r="B10" s="129"/>
      <c r="C10" s="136"/>
      <c r="D10" s="131"/>
      <c r="E10" s="124"/>
      <c r="F10" s="132"/>
      <c r="G10" s="133"/>
      <c r="H10" s="137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e">
        <f t="shared" si="3"/>
        <v>#N/A</v>
      </c>
    </row>
    <row r="11" spans="1:14" ht="45" customHeight="1">
      <c r="A11" s="135"/>
      <c r="B11" s="129"/>
      <c r="C11" s="136"/>
      <c r="D11" s="131"/>
      <c r="E11" s="124"/>
      <c r="F11" s="132"/>
      <c r="G11" s="133"/>
      <c r="H11" s="137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e">
        <f t="shared" si="3"/>
        <v>#N/A</v>
      </c>
    </row>
    <row r="12" spans="1:14" ht="45" customHeight="1">
      <c r="A12" s="135"/>
      <c r="B12" s="129"/>
      <c r="C12" s="136"/>
      <c r="D12" s="131"/>
      <c r="E12" s="124"/>
      <c r="F12" s="132"/>
      <c r="G12" s="133"/>
      <c r="H12" s="137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e">
        <f t="shared" si="3"/>
        <v>#N/A</v>
      </c>
    </row>
    <row r="13" spans="1:14" ht="45" customHeight="1">
      <c r="A13" s="135"/>
      <c r="B13" s="129"/>
      <c r="C13" s="136"/>
      <c r="D13" s="131"/>
      <c r="E13" s="124"/>
      <c r="F13" s="132"/>
      <c r="G13" s="133"/>
      <c r="H13" s="137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e">
        <f t="shared" si="3"/>
        <v>#N/A</v>
      </c>
    </row>
    <row r="14" spans="1:14" ht="45" customHeight="1">
      <c r="A14" s="135"/>
      <c r="B14" s="129"/>
      <c r="C14" s="136"/>
      <c r="D14" s="131"/>
      <c r="E14" s="124"/>
      <c r="F14" s="132"/>
      <c r="G14" s="133"/>
      <c r="H14" s="137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e">
        <f t="shared" si="3"/>
        <v>#N/A</v>
      </c>
    </row>
    <row r="15" spans="1:14" ht="45" customHeight="1">
      <c r="A15" s="135"/>
      <c r="B15" s="129"/>
      <c r="C15" s="136"/>
      <c r="D15" s="131"/>
      <c r="E15" s="124"/>
      <c r="F15" s="132"/>
      <c r="G15" s="133"/>
      <c r="H15" s="137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e">
        <f t="shared" si="3"/>
        <v>#N/A</v>
      </c>
    </row>
    <row r="16" spans="1:14" ht="45" customHeight="1">
      <c r="A16" s="135"/>
      <c r="B16" s="129"/>
      <c r="C16" s="136"/>
      <c r="D16" s="131"/>
      <c r="E16" s="124"/>
      <c r="F16" s="132"/>
      <c r="G16" s="133"/>
      <c r="H16" s="137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e">
        <f t="shared" si="3"/>
        <v>#N/A</v>
      </c>
    </row>
    <row r="17" spans="1:14" ht="45" customHeight="1">
      <c r="A17" s="135"/>
      <c r="B17" s="129"/>
      <c r="C17" s="136"/>
      <c r="D17" s="131"/>
      <c r="E17" s="124"/>
      <c r="F17" s="132"/>
      <c r="G17" s="133"/>
      <c r="H17" s="137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e">
        <f t="shared" si="3"/>
        <v>#N/A</v>
      </c>
    </row>
    <row r="18" spans="1:14" ht="45" customHeight="1">
      <c r="A18" s="138"/>
      <c r="B18" s="129"/>
      <c r="C18" s="139"/>
      <c r="D18" s="131"/>
      <c r="E18" s="124"/>
      <c r="F18" s="132"/>
      <c r="G18" s="133"/>
      <c r="H18" s="140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e">
        <f t="shared" si="3"/>
        <v>#N/A</v>
      </c>
    </row>
    <row r="19" spans="1:14" ht="45" customHeight="1">
      <c r="A19" s="135"/>
      <c r="B19" s="129"/>
      <c r="C19" s="136"/>
      <c r="D19" s="131"/>
      <c r="E19" s="124"/>
      <c r="F19" s="132"/>
      <c r="G19" s="133"/>
      <c r="H19" s="137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e">
        <f t="shared" si="3"/>
        <v>#N/A</v>
      </c>
    </row>
    <row r="20" spans="1:14" ht="45" customHeight="1">
      <c r="A20" s="135"/>
      <c r="B20" s="129"/>
      <c r="C20" s="136"/>
      <c r="D20" s="131"/>
      <c r="E20" s="124"/>
      <c r="F20" s="132"/>
      <c r="G20" s="133"/>
      <c r="H20" s="137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e">
        <f t="shared" si="3"/>
        <v>#N/A</v>
      </c>
    </row>
    <row r="21" spans="1:14" ht="45" customHeight="1">
      <c r="A21" s="135"/>
      <c r="B21" s="129"/>
      <c r="C21" s="136"/>
      <c r="D21" s="131"/>
      <c r="E21" s="124"/>
      <c r="F21" s="132"/>
      <c r="G21" s="133"/>
      <c r="H21" s="137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e">
        <f t="shared" si="3"/>
        <v>#N/A</v>
      </c>
    </row>
    <row r="22" spans="1:14" ht="45" customHeight="1">
      <c r="A22" s="135"/>
      <c r="B22" s="129"/>
      <c r="C22" s="136"/>
      <c r="D22" s="131"/>
      <c r="E22" s="124"/>
      <c r="F22" s="132"/>
      <c r="G22" s="133"/>
      <c r="H22" s="137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e">
        <f t="shared" si="3"/>
        <v>#N/A</v>
      </c>
    </row>
    <row r="23" spans="1:14" ht="45" customHeight="1">
      <c r="A23" s="135"/>
      <c r="B23" s="129"/>
      <c r="C23" s="136"/>
      <c r="D23" s="131"/>
      <c r="E23" s="124"/>
      <c r="F23" s="132"/>
      <c r="G23" s="133"/>
      <c r="H23" s="137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e">
        <f t="shared" si="3"/>
        <v>#N/A</v>
      </c>
    </row>
    <row r="24" spans="1:14" ht="45" customHeight="1">
      <c r="A24" s="135"/>
      <c r="B24" s="129"/>
      <c r="C24" s="136"/>
      <c r="D24" s="131"/>
      <c r="E24" s="124"/>
      <c r="F24" s="132"/>
      <c r="G24" s="133"/>
      <c r="H24" s="137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e">
        <f t="shared" si="3"/>
        <v>#N/A</v>
      </c>
    </row>
    <row r="25" spans="1:14" ht="45" customHeight="1">
      <c r="A25" s="135"/>
      <c r="B25" s="129"/>
      <c r="C25" s="136"/>
      <c r="D25" s="131"/>
      <c r="E25" s="124"/>
      <c r="F25" s="132"/>
      <c r="G25" s="133"/>
      <c r="H25" s="137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e">
        <f t="shared" si="3"/>
        <v>#N/A</v>
      </c>
    </row>
    <row r="26" spans="1:14" ht="45" customHeight="1">
      <c r="A26" s="135"/>
      <c r="B26" s="129"/>
      <c r="C26" s="136"/>
      <c r="D26" s="131"/>
      <c r="E26" s="124"/>
      <c r="F26" s="132"/>
      <c r="G26" s="133"/>
      <c r="H26" s="137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e">
        <f t="shared" si="3"/>
        <v>#N/A</v>
      </c>
    </row>
    <row r="27" spans="1:14" ht="45" customHeight="1">
      <c r="A27" s="135"/>
      <c r="B27" s="129"/>
      <c r="C27" s="136"/>
      <c r="D27" s="131"/>
      <c r="E27" s="124"/>
      <c r="F27" s="132"/>
      <c r="G27" s="133"/>
      <c r="H27" s="137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e">
        <f t="shared" si="3"/>
        <v>#N/A</v>
      </c>
    </row>
    <row r="28" spans="1:14" ht="45" customHeight="1">
      <c r="A28" s="135"/>
      <c r="B28" s="129"/>
      <c r="C28" s="136"/>
      <c r="D28" s="131"/>
      <c r="E28" s="124"/>
      <c r="F28" s="132"/>
      <c r="G28" s="133"/>
      <c r="H28" s="137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e">
        <f t="shared" si="3"/>
        <v>#N/A</v>
      </c>
    </row>
    <row r="29" spans="1:14" ht="45" customHeight="1">
      <c r="A29" s="135"/>
      <c r="B29" s="129"/>
      <c r="C29" s="136"/>
      <c r="D29" s="131"/>
      <c r="E29" s="124"/>
      <c r="F29" s="132"/>
      <c r="G29" s="133"/>
      <c r="H29" s="137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e">
        <f t="shared" si="3"/>
        <v>#N/A</v>
      </c>
    </row>
    <row r="30" spans="1:14" ht="45" customHeight="1">
      <c r="A30" s="135"/>
      <c r="B30" s="129"/>
      <c r="C30" s="136"/>
      <c r="D30" s="131"/>
      <c r="E30" s="124"/>
      <c r="F30" s="132"/>
      <c r="G30" s="133"/>
      <c r="H30" s="137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e">
        <f t="shared" si="3"/>
        <v>#N/A</v>
      </c>
    </row>
    <row r="31" spans="1:14" ht="45" customHeight="1">
      <c r="A31" s="135"/>
      <c r="B31" s="129"/>
      <c r="C31" s="136"/>
      <c r="D31" s="131"/>
      <c r="E31" s="124"/>
      <c r="F31" s="132"/>
      <c r="G31" s="133"/>
      <c r="H31" s="137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e">
        <f t="shared" si="3"/>
        <v>#N/A</v>
      </c>
    </row>
    <row r="32" spans="1:14" ht="45" customHeight="1">
      <c r="A32" s="135"/>
      <c r="B32" s="129"/>
      <c r="C32" s="136"/>
      <c r="D32" s="131"/>
      <c r="E32" s="124"/>
      <c r="F32" s="132"/>
      <c r="G32" s="133"/>
      <c r="H32" s="137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e">
        <f t="shared" si="3"/>
        <v>#N/A</v>
      </c>
    </row>
    <row r="33" spans="1:14" ht="45" customHeight="1">
      <c r="A33" s="135"/>
      <c r="B33" s="129"/>
      <c r="C33" s="136"/>
      <c r="D33" s="131"/>
      <c r="E33" s="124"/>
      <c r="F33" s="132"/>
      <c r="G33" s="133"/>
      <c r="H33" s="137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e">
        <f t="shared" si="3"/>
        <v>#N/A</v>
      </c>
    </row>
    <row r="34" spans="1:14" ht="45" customHeight="1">
      <c r="A34" s="135"/>
      <c r="B34" s="129"/>
      <c r="C34" s="136"/>
      <c r="D34" s="131"/>
      <c r="E34" s="126"/>
      <c r="F34" s="132"/>
      <c r="G34" s="133"/>
      <c r="H34" s="137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e">
        <f t="shared" si="3"/>
        <v>#N/A</v>
      </c>
    </row>
    <row r="35" spans="1:14" ht="45" customHeight="1">
      <c r="A35" s="135"/>
      <c r="B35" s="129"/>
      <c r="C35" s="136"/>
      <c r="D35" s="131"/>
      <c r="E35" s="126"/>
      <c r="F35" s="132"/>
      <c r="G35" s="133"/>
      <c r="H35" s="137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e">
        <f t="shared" si="3"/>
        <v>#N/A</v>
      </c>
    </row>
    <row r="36" spans="1:14" ht="45" customHeight="1">
      <c r="A36" s="135"/>
      <c r="B36" s="129"/>
      <c r="C36" s="136"/>
      <c r="D36" s="131"/>
      <c r="E36" s="126"/>
      <c r="F36" s="132"/>
      <c r="G36" s="133"/>
      <c r="H36" s="137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e">
        <f t="shared" si="3"/>
        <v>#N/A</v>
      </c>
    </row>
    <row r="37" spans="1:14" ht="45" customHeight="1">
      <c r="A37" s="135"/>
      <c r="B37" s="129"/>
      <c r="C37" s="136"/>
      <c r="D37" s="131"/>
      <c r="E37" s="126"/>
      <c r="F37" s="132"/>
      <c r="G37" s="133"/>
      <c r="H37" s="137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e">
        <f t="shared" si="3"/>
        <v>#N/A</v>
      </c>
    </row>
    <row r="38" spans="1:14" ht="45" customHeight="1">
      <c r="A38" s="135"/>
      <c r="B38" s="129"/>
      <c r="C38" s="136"/>
      <c r="D38" s="131"/>
      <c r="E38" s="126"/>
      <c r="F38" s="132"/>
      <c r="G38" s="133"/>
      <c r="H38" s="137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e">
        <f t="shared" si="3"/>
        <v>#N/A</v>
      </c>
    </row>
    <row r="39" spans="1:14" ht="45" customHeight="1">
      <c r="A39" s="135"/>
      <c r="B39" s="129"/>
      <c r="C39" s="136"/>
      <c r="D39" s="131"/>
      <c r="E39" s="126"/>
      <c r="F39" s="132"/>
      <c r="G39" s="133"/>
      <c r="H39" s="137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e">
        <f t="shared" si="3"/>
        <v>#N/A</v>
      </c>
    </row>
    <row r="40" spans="1:14" ht="45" customHeight="1">
      <c r="A40" s="135"/>
      <c r="B40" s="129"/>
      <c r="C40" s="136"/>
      <c r="D40" s="131"/>
      <c r="E40" s="126"/>
      <c r="F40" s="132"/>
      <c r="G40" s="133"/>
      <c r="H40" s="137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e">
        <f t="shared" si="3"/>
        <v>#N/A</v>
      </c>
    </row>
    <row r="41" spans="1:14" ht="45" customHeight="1">
      <c r="A41" s="135"/>
      <c r="B41" s="129"/>
      <c r="C41" s="136"/>
      <c r="D41" s="131"/>
      <c r="E41" s="126"/>
      <c r="F41" s="132"/>
      <c r="G41" s="133"/>
      <c r="H41" s="137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e">
        <f t="shared" si="3"/>
        <v>#N/A</v>
      </c>
    </row>
    <row r="42" spans="1:14" ht="45" customHeight="1">
      <c r="A42" s="135"/>
      <c r="B42" s="129"/>
      <c r="C42" s="136"/>
      <c r="D42" s="131"/>
      <c r="E42" s="126"/>
      <c r="F42" s="132"/>
      <c r="G42" s="133"/>
      <c r="H42" s="137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e">
        <f t="shared" si="3"/>
        <v>#N/A</v>
      </c>
    </row>
    <row r="43" spans="1:14" ht="45" customHeight="1">
      <c r="A43" s="135"/>
      <c r="B43" s="129"/>
      <c r="C43" s="136"/>
      <c r="D43" s="131"/>
      <c r="E43" s="126"/>
      <c r="F43" s="132"/>
      <c r="G43" s="133"/>
      <c r="H43" s="137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e">
        <f t="shared" si="3"/>
        <v>#N/A</v>
      </c>
    </row>
    <row r="44" spans="1:14" ht="45" customHeight="1">
      <c r="A44" s="135"/>
      <c r="B44" s="129"/>
      <c r="C44" s="136"/>
      <c r="D44" s="131"/>
      <c r="E44" s="126"/>
      <c r="F44" s="132"/>
      <c r="G44" s="133"/>
      <c r="H44" s="137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e">
        <f t="shared" si="3"/>
        <v>#N/A</v>
      </c>
    </row>
    <row r="45" spans="1:14" ht="45" customHeight="1">
      <c r="A45" s="135"/>
      <c r="B45" s="129"/>
      <c r="C45" s="136"/>
      <c r="D45" s="131"/>
      <c r="E45" s="126"/>
      <c r="F45" s="132"/>
      <c r="G45" s="133"/>
      <c r="H45" s="137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e">
        <f t="shared" si="3"/>
        <v>#N/A</v>
      </c>
    </row>
    <row r="46" spans="1:14" ht="45" customHeight="1">
      <c r="A46" s="135"/>
      <c r="B46" s="129"/>
      <c r="C46" s="136"/>
      <c r="D46" s="131"/>
      <c r="E46" s="126"/>
      <c r="F46" s="132"/>
      <c r="G46" s="133"/>
      <c r="H46" s="137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e">
        <f t="shared" si="3"/>
        <v>#N/A</v>
      </c>
    </row>
    <row r="47" spans="1:14" ht="45" customHeight="1">
      <c r="A47" s="135"/>
      <c r="B47" s="129"/>
      <c r="C47" s="136"/>
      <c r="D47" s="131"/>
      <c r="E47" s="126"/>
      <c r="F47" s="132"/>
      <c r="G47" s="133"/>
      <c r="H47" s="137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e">
        <f t="shared" si="3"/>
        <v>#N/A</v>
      </c>
    </row>
    <row r="48" spans="1:14" ht="45" customHeight="1">
      <c r="A48" s="135"/>
      <c r="B48" s="129"/>
      <c r="C48" s="136"/>
      <c r="D48" s="131"/>
      <c r="E48" s="126"/>
      <c r="F48" s="132"/>
      <c r="G48" s="133"/>
      <c r="H48" s="137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e">
        <f t="shared" si="3"/>
        <v>#N/A</v>
      </c>
    </row>
    <row r="49" spans="1:14" ht="45" customHeight="1">
      <c r="A49" s="135"/>
      <c r="B49" s="129"/>
      <c r="C49" s="136"/>
      <c r="D49" s="131"/>
      <c r="E49" s="126"/>
      <c r="F49" s="132"/>
      <c r="G49" s="133"/>
      <c r="H49" s="137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e">
        <f t="shared" si="3"/>
        <v>#N/A</v>
      </c>
    </row>
    <row r="50" spans="1:14" ht="45" customHeight="1">
      <c r="A50" s="135"/>
      <c r="B50" s="129"/>
      <c r="C50" s="136"/>
      <c r="D50" s="131"/>
      <c r="E50" s="126"/>
      <c r="F50" s="132"/>
      <c r="G50" s="133"/>
      <c r="H50" s="137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e">
        <f t="shared" si="3"/>
        <v>#N/A</v>
      </c>
    </row>
    <row r="51" spans="1:14" ht="45" customHeight="1">
      <c r="A51" s="135"/>
      <c r="B51" s="129"/>
      <c r="C51" s="136"/>
      <c r="D51" s="131"/>
      <c r="E51" s="126"/>
      <c r="F51" s="132"/>
      <c r="G51" s="133"/>
      <c r="H51" s="137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e">
        <f t="shared" si="3"/>
        <v>#N/A</v>
      </c>
    </row>
    <row r="52" spans="1:14" ht="45" customHeight="1">
      <c r="A52" s="135"/>
      <c r="B52" s="129"/>
      <c r="C52" s="136"/>
      <c r="D52" s="131"/>
      <c r="E52" s="126"/>
      <c r="F52" s="132"/>
      <c r="G52" s="133"/>
      <c r="H52" s="137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e">
        <f t="shared" si="3"/>
        <v>#N/A</v>
      </c>
    </row>
    <row r="53" spans="1:14" ht="45" customHeight="1">
      <c r="A53" s="135"/>
      <c r="B53" s="129"/>
      <c r="C53" s="136"/>
      <c r="D53" s="131"/>
      <c r="E53" s="126"/>
      <c r="F53" s="132"/>
      <c r="G53" s="133"/>
      <c r="H53" s="137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e">
        <f t="shared" si="3"/>
        <v>#N/A</v>
      </c>
    </row>
    <row r="54" spans="1:14" ht="45" customHeight="1">
      <c r="A54" s="135"/>
      <c r="B54" s="129"/>
      <c r="C54" s="136"/>
      <c r="D54" s="131"/>
      <c r="E54" s="126"/>
      <c r="F54" s="132"/>
      <c r="G54" s="133"/>
      <c r="H54" s="137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e">
        <f t="shared" si="3"/>
        <v>#N/A</v>
      </c>
    </row>
    <row r="55" spans="1:14" ht="45" customHeight="1">
      <c r="A55" s="135"/>
      <c r="B55" s="129"/>
      <c r="C55" s="136"/>
      <c r="D55" s="131"/>
      <c r="E55" s="126"/>
      <c r="F55" s="132"/>
      <c r="G55" s="133"/>
      <c r="H55" s="137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e">
        <f t="shared" si="3"/>
        <v>#N/A</v>
      </c>
    </row>
    <row r="56" spans="1:14" ht="45" customHeight="1">
      <c r="A56" s="135"/>
      <c r="B56" s="129"/>
      <c r="C56" s="136"/>
      <c r="D56" s="131"/>
      <c r="E56" s="126"/>
      <c r="F56" s="132"/>
      <c r="G56" s="133"/>
      <c r="H56" s="137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e">
        <f t="shared" si="3"/>
        <v>#N/A</v>
      </c>
    </row>
    <row r="57" spans="1:14" ht="45" customHeight="1">
      <c r="A57" s="135"/>
      <c r="B57" s="129"/>
      <c r="C57" s="136"/>
      <c r="D57" s="131"/>
      <c r="E57" s="126"/>
      <c r="F57" s="132"/>
      <c r="G57" s="133"/>
      <c r="H57" s="137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e">
        <f t="shared" si="3"/>
        <v>#N/A</v>
      </c>
    </row>
    <row r="58" spans="1:14" ht="45" customHeight="1">
      <c r="A58" s="135"/>
      <c r="B58" s="129"/>
      <c r="C58" s="136"/>
      <c r="D58" s="131"/>
      <c r="E58" s="126"/>
      <c r="F58" s="132"/>
      <c r="G58" s="133"/>
      <c r="H58" s="137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e">
        <f t="shared" si="3"/>
        <v>#N/A</v>
      </c>
    </row>
    <row r="59" spans="1:14" ht="45" customHeight="1">
      <c r="A59" s="135"/>
      <c r="B59" s="129"/>
      <c r="C59" s="136"/>
      <c r="D59" s="131"/>
      <c r="E59" s="126"/>
      <c r="F59" s="132"/>
      <c r="G59" s="133"/>
      <c r="H59" s="137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e">
        <f t="shared" si="3"/>
        <v>#N/A</v>
      </c>
    </row>
    <row r="60" spans="1:14" ht="45" customHeight="1">
      <c r="A60" s="135"/>
      <c r="B60" s="129"/>
      <c r="C60" s="136"/>
      <c r="D60" s="131"/>
      <c r="E60" s="126"/>
      <c r="F60" s="132"/>
      <c r="G60" s="133"/>
      <c r="H60" s="137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e">
        <f t="shared" si="3"/>
        <v>#N/A</v>
      </c>
    </row>
    <row r="61" spans="1:14" ht="45" customHeight="1">
      <c r="A61" s="135"/>
      <c r="B61" s="129"/>
      <c r="C61" s="136"/>
      <c r="D61" s="131"/>
      <c r="E61" s="126"/>
      <c r="F61" s="132"/>
      <c r="G61" s="133"/>
      <c r="H61" s="137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e">
        <f t="shared" si="3"/>
        <v>#N/A</v>
      </c>
    </row>
    <row r="62" spans="1:14" ht="45" customHeight="1">
      <c r="A62" s="135"/>
      <c r="B62" s="129"/>
      <c r="C62" s="136"/>
      <c r="D62" s="131"/>
      <c r="E62" s="126"/>
      <c r="F62" s="132"/>
      <c r="G62" s="133"/>
      <c r="H62" s="137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e">
        <f t="shared" si="3"/>
        <v>#N/A</v>
      </c>
    </row>
    <row r="63" spans="1:14" ht="45" customHeight="1">
      <c r="A63" s="135"/>
      <c r="B63" s="129"/>
      <c r="C63" s="136"/>
      <c r="D63" s="131"/>
      <c r="E63" s="126"/>
      <c r="F63" s="132"/>
      <c r="G63" s="133"/>
      <c r="H63" s="137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e">
        <f t="shared" si="3"/>
        <v>#N/A</v>
      </c>
    </row>
    <row r="64" spans="1:14" ht="45" customHeight="1">
      <c r="A64" s="135"/>
      <c r="B64" s="129"/>
      <c r="C64" s="136"/>
      <c r="D64" s="131"/>
      <c r="E64" s="126"/>
      <c r="F64" s="132"/>
      <c r="G64" s="133"/>
      <c r="H64" s="137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e">
        <f t="shared" si="3"/>
        <v>#N/A</v>
      </c>
    </row>
    <row r="65" spans="1:14" ht="45" customHeight="1">
      <c r="A65" s="135"/>
      <c r="B65" s="129"/>
      <c r="C65" s="136"/>
      <c r="D65" s="131"/>
      <c r="E65" s="126"/>
      <c r="F65" s="132"/>
      <c r="G65" s="133"/>
      <c r="H65" s="137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e">
        <f t="shared" si="3"/>
        <v>#N/A</v>
      </c>
    </row>
    <row r="66" spans="1:14" ht="45" customHeight="1">
      <c r="A66" s="135"/>
      <c r="B66" s="129"/>
      <c r="C66" s="136"/>
      <c r="D66" s="131"/>
      <c r="E66" s="126"/>
      <c r="F66" s="132"/>
      <c r="G66" s="133"/>
      <c r="H66" s="137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e">
        <f t="shared" si="3"/>
        <v>#N/A</v>
      </c>
    </row>
    <row r="67" spans="1:14" ht="45" customHeight="1">
      <c r="A67" s="135"/>
      <c r="B67" s="129"/>
      <c r="C67" s="136"/>
      <c r="D67" s="131"/>
      <c r="E67" s="126"/>
      <c r="F67" s="132"/>
      <c r="G67" s="133"/>
      <c r="H67" s="137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e">
        <f t="shared" si="3"/>
        <v>#N/A</v>
      </c>
    </row>
    <row r="68" spans="1:14" ht="45" customHeight="1">
      <c r="A68" s="135"/>
      <c r="B68" s="129"/>
      <c r="C68" s="136"/>
      <c r="D68" s="131"/>
      <c r="E68" s="126"/>
      <c r="F68" s="132"/>
      <c r="G68" s="133"/>
      <c r="H68" s="137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e">
        <f t="shared" ref="N68:N131" si="8">AND($M$1="Flat Rate",M68="Staff_Costs")</f>
        <v>#N/A</v>
      </c>
    </row>
    <row r="69" spans="1:14" ht="45" customHeight="1">
      <c r="A69" s="135"/>
      <c r="B69" s="129"/>
      <c r="C69" s="136"/>
      <c r="D69" s="131"/>
      <c r="E69" s="126"/>
      <c r="F69" s="132"/>
      <c r="G69" s="133"/>
      <c r="H69" s="137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e">
        <f t="shared" si="8"/>
        <v>#N/A</v>
      </c>
    </row>
    <row r="70" spans="1:14" ht="45" customHeight="1">
      <c r="A70" s="135"/>
      <c r="B70" s="129"/>
      <c r="C70" s="136"/>
      <c r="D70" s="131"/>
      <c r="E70" s="126"/>
      <c r="F70" s="132"/>
      <c r="G70" s="133"/>
      <c r="H70" s="137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e">
        <f t="shared" si="8"/>
        <v>#N/A</v>
      </c>
    </row>
    <row r="71" spans="1:14" ht="45" customHeight="1">
      <c r="A71" s="135"/>
      <c r="B71" s="129"/>
      <c r="C71" s="136"/>
      <c r="D71" s="131"/>
      <c r="E71" s="126"/>
      <c r="F71" s="132"/>
      <c r="G71" s="133"/>
      <c r="H71" s="137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e">
        <f t="shared" si="8"/>
        <v>#N/A</v>
      </c>
    </row>
    <row r="72" spans="1:14" ht="45" customHeight="1">
      <c r="A72" s="135"/>
      <c r="B72" s="129"/>
      <c r="C72" s="136"/>
      <c r="D72" s="131"/>
      <c r="E72" s="126"/>
      <c r="F72" s="132"/>
      <c r="G72" s="133"/>
      <c r="H72" s="137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e">
        <f t="shared" si="8"/>
        <v>#N/A</v>
      </c>
    </row>
    <row r="73" spans="1:14" ht="45" customHeight="1">
      <c r="A73" s="135"/>
      <c r="B73" s="129"/>
      <c r="C73" s="136"/>
      <c r="D73" s="131"/>
      <c r="E73" s="126"/>
      <c r="F73" s="132"/>
      <c r="G73" s="133"/>
      <c r="H73" s="137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e">
        <f t="shared" si="8"/>
        <v>#N/A</v>
      </c>
    </row>
    <row r="74" spans="1:14" ht="45" customHeight="1">
      <c r="A74" s="135"/>
      <c r="B74" s="129"/>
      <c r="C74" s="136"/>
      <c r="D74" s="131"/>
      <c r="E74" s="126"/>
      <c r="F74" s="132"/>
      <c r="G74" s="133"/>
      <c r="H74" s="137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e">
        <f t="shared" si="8"/>
        <v>#N/A</v>
      </c>
    </row>
    <row r="75" spans="1:14" ht="45" customHeight="1">
      <c r="A75" s="135"/>
      <c r="B75" s="129"/>
      <c r="C75" s="136"/>
      <c r="D75" s="131"/>
      <c r="E75" s="126"/>
      <c r="F75" s="132"/>
      <c r="G75" s="133"/>
      <c r="H75" s="137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e">
        <f t="shared" si="8"/>
        <v>#N/A</v>
      </c>
    </row>
    <row r="76" spans="1:14" ht="45" customHeight="1">
      <c r="A76" s="135"/>
      <c r="B76" s="129"/>
      <c r="C76" s="136"/>
      <c r="D76" s="131"/>
      <c r="E76" s="126"/>
      <c r="F76" s="132"/>
      <c r="G76" s="133"/>
      <c r="H76" s="137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e">
        <f t="shared" si="8"/>
        <v>#N/A</v>
      </c>
    </row>
    <row r="77" spans="1:14" ht="45" customHeight="1">
      <c r="A77" s="135"/>
      <c r="B77" s="129"/>
      <c r="C77" s="136"/>
      <c r="D77" s="131"/>
      <c r="E77" s="126"/>
      <c r="F77" s="132"/>
      <c r="G77" s="133"/>
      <c r="H77" s="137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e">
        <f t="shared" si="8"/>
        <v>#N/A</v>
      </c>
    </row>
    <row r="78" spans="1:14" ht="45" customHeight="1">
      <c r="A78" s="135"/>
      <c r="B78" s="129"/>
      <c r="C78" s="136"/>
      <c r="D78" s="131"/>
      <c r="E78" s="126"/>
      <c r="F78" s="132"/>
      <c r="G78" s="133"/>
      <c r="H78" s="137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e">
        <f t="shared" si="8"/>
        <v>#N/A</v>
      </c>
    </row>
    <row r="79" spans="1:14" ht="45" customHeight="1">
      <c r="A79" s="135"/>
      <c r="B79" s="129"/>
      <c r="C79" s="136"/>
      <c r="D79" s="131"/>
      <c r="E79" s="126"/>
      <c r="F79" s="132"/>
      <c r="G79" s="133"/>
      <c r="H79" s="137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e">
        <f t="shared" si="8"/>
        <v>#N/A</v>
      </c>
    </row>
    <row r="80" spans="1:14" ht="45" customHeight="1">
      <c r="A80" s="135"/>
      <c r="B80" s="129"/>
      <c r="C80" s="136"/>
      <c r="D80" s="131"/>
      <c r="E80" s="126"/>
      <c r="F80" s="132"/>
      <c r="G80" s="133"/>
      <c r="H80" s="137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e">
        <f t="shared" si="8"/>
        <v>#N/A</v>
      </c>
    </row>
    <row r="81" spans="1:14" ht="45" customHeight="1">
      <c r="A81" s="135"/>
      <c r="B81" s="129"/>
      <c r="C81" s="136"/>
      <c r="D81" s="131"/>
      <c r="E81" s="126"/>
      <c r="F81" s="132"/>
      <c r="G81" s="133"/>
      <c r="H81" s="137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e">
        <f t="shared" si="8"/>
        <v>#N/A</v>
      </c>
    </row>
    <row r="82" spans="1:14" ht="45" customHeight="1">
      <c r="A82" s="135"/>
      <c r="B82" s="129"/>
      <c r="C82" s="136"/>
      <c r="D82" s="131"/>
      <c r="E82" s="126"/>
      <c r="F82" s="132"/>
      <c r="G82" s="133"/>
      <c r="H82" s="137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e">
        <f t="shared" si="8"/>
        <v>#N/A</v>
      </c>
    </row>
    <row r="83" spans="1:14" ht="45" customHeight="1">
      <c r="A83" s="135"/>
      <c r="B83" s="129"/>
      <c r="C83" s="136"/>
      <c r="D83" s="131"/>
      <c r="E83" s="126"/>
      <c r="F83" s="132"/>
      <c r="G83" s="133"/>
      <c r="H83" s="137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e">
        <f t="shared" si="8"/>
        <v>#N/A</v>
      </c>
    </row>
    <row r="84" spans="1:14" ht="45" customHeight="1">
      <c r="A84" s="135"/>
      <c r="B84" s="129"/>
      <c r="C84" s="136"/>
      <c r="D84" s="131"/>
      <c r="E84" s="126"/>
      <c r="F84" s="132"/>
      <c r="G84" s="133"/>
      <c r="H84" s="137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e">
        <f t="shared" si="8"/>
        <v>#N/A</v>
      </c>
    </row>
    <row r="85" spans="1:14" ht="45" customHeight="1">
      <c r="A85" s="135"/>
      <c r="B85" s="129"/>
      <c r="C85" s="136"/>
      <c r="D85" s="131"/>
      <c r="E85" s="126"/>
      <c r="F85" s="132"/>
      <c r="G85" s="133"/>
      <c r="H85" s="137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e">
        <f t="shared" si="8"/>
        <v>#N/A</v>
      </c>
    </row>
    <row r="86" spans="1:14" ht="45" customHeight="1">
      <c r="A86" s="135"/>
      <c r="B86" s="129"/>
      <c r="C86" s="136"/>
      <c r="D86" s="131"/>
      <c r="E86" s="126"/>
      <c r="F86" s="132"/>
      <c r="G86" s="133"/>
      <c r="H86" s="137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e">
        <f t="shared" si="8"/>
        <v>#N/A</v>
      </c>
    </row>
    <row r="87" spans="1:14" ht="45" customHeight="1">
      <c r="A87" s="135"/>
      <c r="B87" s="129"/>
      <c r="C87" s="136"/>
      <c r="D87" s="131"/>
      <c r="E87" s="126"/>
      <c r="F87" s="132"/>
      <c r="G87" s="133"/>
      <c r="H87" s="137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e">
        <f t="shared" si="8"/>
        <v>#N/A</v>
      </c>
    </row>
    <row r="88" spans="1:14" ht="45" customHeight="1">
      <c r="A88" s="135"/>
      <c r="B88" s="129"/>
      <c r="C88" s="136"/>
      <c r="D88" s="131"/>
      <c r="E88" s="126"/>
      <c r="F88" s="132"/>
      <c r="G88" s="133"/>
      <c r="H88" s="137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e">
        <f t="shared" si="8"/>
        <v>#N/A</v>
      </c>
    </row>
    <row r="89" spans="1:14" ht="45" customHeight="1">
      <c r="A89" s="135"/>
      <c r="B89" s="129"/>
      <c r="C89" s="136"/>
      <c r="D89" s="131"/>
      <c r="E89" s="126"/>
      <c r="F89" s="132"/>
      <c r="G89" s="133"/>
      <c r="H89" s="137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e">
        <f t="shared" si="8"/>
        <v>#N/A</v>
      </c>
    </row>
    <row r="90" spans="1:14" ht="45" customHeight="1">
      <c r="A90" s="135"/>
      <c r="B90" s="129"/>
      <c r="C90" s="136"/>
      <c r="D90" s="131"/>
      <c r="E90" s="126"/>
      <c r="F90" s="132"/>
      <c r="G90" s="133"/>
      <c r="H90" s="137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e">
        <f t="shared" si="8"/>
        <v>#N/A</v>
      </c>
    </row>
    <row r="91" spans="1:14" ht="45" customHeight="1">
      <c r="A91" s="135"/>
      <c r="B91" s="129"/>
      <c r="C91" s="136"/>
      <c r="D91" s="131"/>
      <c r="E91" s="126"/>
      <c r="F91" s="132"/>
      <c r="G91" s="133"/>
      <c r="H91" s="137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e">
        <f t="shared" si="8"/>
        <v>#N/A</v>
      </c>
    </row>
    <row r="92" spans="1:14" ht="45" customHeight="1">
      <c r="A92" s="135"/>
      <c r="B92" s="129"/>
      <c r="C92" s="136"/>
      <c r="D92" s="131"/>
      <c r="E92" s="126"/>
      <c r="F92" s="132"/>
      <c r="G92" s="133"/>
      <c r="H92" s="137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e">
        <f t="shared" si="8"/>
        <v>#N/A</v>
      </c>
    </row>
    <row r="93" spans="1:14" ht="45" customHeight="1">
      <c r="A93" s="135"/>
      <c r="B93" s="129"/>
      <c r="C93" s="136"/>
      <c r="D93" s="131"/>
      <c r="E93" s="126"/>
      <c r="F93" s="132"/>
      <c r="G93" s="133"/>
      <c r="H93" s="137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e">
        <f t="shared" si="8"/>
        <v>#N/A</v>
      </c>
    </row>
    <row r="94" spans="1:14" ht="45" customHeight="1">
      <c r="A94" s="135"/>
      <c r="B94" s="129"/>
      <c r="C94" s="136"/>
      <c r="D94" s="131"/>
      <c r="E94" s="126"/>
      <c r="F94" s="132"/>
      <c r="G94" s="133"/>
      <c r="H94" s="137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e">
        <f t="shared" si="8"/>
        <v>#N/A</v>
      </c>
    </row>
    <row r="95" spans="1:14" ht="45" customHeight="1">
      <c r="A95" s="135"/>
      <c r="B95" s="129"/>
      <c r="C95" s="136"/>
      <c r="D95" s="131"/>
      <c r="E95" s="126"/>
      <c r="F95" s="132"/>
      <c r="G95" s="133"/>
      <c r="H95" s="137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e">
        <f t="shared" si="8"/>
        <v>#N/A</v>
      </c>
    </row>
    <row r="96" spans="1:14" ht="45" customHeight="1">
      <c r="A96" s="135"/>
      <c r="B96" s="129"/>
      <c r="C96" s="136"/>
      <c r="D96" s="131"/>
      <c r="E96" s="126"/>
      <c r="F96" s="132"/>
      <c r="G96" s="133"/>
      <c r="H96" s="137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e">
        <f t="shared" si="8"/>
        <v>#N/A</v>
      </c>
    </row>
    <row r="97" spans="1:14" ht="45" customHeight="1">
      <c r="A97" s="135"/>
      <c r="B97" s="129"/>
      <c r="C97" s="136"/>
      <c r="D97" s="131"/>
      <c r="E97" s="126"/>
      <c r="F97" s="132"/>
      <c r="G97" s="133"/>
      <c r="H97" s="137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e">
        <f t="shared" si="8"/>
        <v>#N/A</v>
      </c>
    </row>
    <row r="98" spans="1:14" ht="45" customHeight="1">
      <c r="A98" s="135"/>
      <c r="B98" s="129"/>
      <c r="C98" s="136"/>
      <c r="D98" s="131"/>
      <c r="E98" s="126"/>
      <c r="F98" s="132"/>
      <c r="G98" s="133"/>
      <c r="H98" s="137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e">
        <f t="shared" si="8"/>
        <v>#N/A</v>
      </c>
    </row>
    <row r="99" spans="1:14" ht="45" customHeight="1">
      <c r="A99" s="135"/>
      <c r="B99" s="129"/>
      <c r="C99" s="136"/>
      <c r="D99" s="131"/>
      <c r="E99" s="126"/>
      <c r="F99" s="132"/>
      <c r="G99" s="133"/>
      <c r="H99" s="137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e">
        <f t="shared" si="8"/>
        <v>#N/A</v>
      </c>
    </row>
    <row r="100" spans="1:14" ht="45" customHeight="1">
      <c r="A100" s="135"/>
      <c r="B100" s="129"/>
      <c r="C100" s="136"/>
      <c r="D100" s="131"/>
      <c r="E100" s="126"/>
      <c r="F100" s="132"/>
      <c r="G100" s="133"/>
      <c r="H100" s="137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e">
        <f t="shared" si="8"/>
        <v>#N/A</v>
      </c>
    </row>
    <row r="101" spans="1:14" ht="45" customHeight="1">
      <c r="A101" s="135"/>
      <c r="B101" s="129"/>
      <c r="C101" s="136"/>
      <c r="D101" s="131"/>
      <c r="E101" s="126"/>
      <c r="F101" s="132"/>
      <c r="G101" s="133"/>
      <c r="H101" s="137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e">
        <f t="shared" si="8"/>
        <v>#N/A</v>
      </c>
    </row>
    <row r="102" spans="1:14" ht="45" customHeight="1">
      <c r="A102" s="135"/>
      <c r="B102" s="129"/>
      <c r="C102" s="136"/>
      <c r="D102" s="131"/>
      <c r="E102" s="126"/>
      <c r="F102" s="132"/>
      <c r="G102" s="133"/>
      <c r="H102" s="137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e">
        <f t="shared" si="8"/>
        <v>#N/A</v>
      </c>
    </row>
    <row r="103" spans="1:14" ht="45" customHeight="1">
      <c r="A103" s="135"/>
      <c r="B103" s="129"/>
      <c r="C103" s="136"/>
      <c r="D103" s="131"/>
      <c r="E103" s="126"/>
      <c r="F103" s="132"/>
      <c r="G103" s="133"/>
      <c r="H103" s="137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e">
        <f t="shared" si="8"/>
        <v>#N/A</v>
      </c>
    </row>
    <row r="104" spans="1:14" ht="45" customHeight="1">
      <c r="A104" s="135"/>
      <c r="B104" s="129"/>
      <c r="C104" s="136"/>
      <c r="D104" s="131"/>
      <c r="E104" s="126"/>
      <c r="F104" s="132"/>
      <c r="G104" s="133"/>
      <c r="H104" s="137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e">
        <f t="shared" si="8"/>
        <v>#N/A</v>
      </c>
    </row>
    <row r="105" spans="1:14" ht="45" customHeight="1">
      <c r="A105" s="135"/>
      <c r="B105" s="129"/>
      <c r="C105" s="136"/>
      <c r="D105" s="131"/>
      <c r="E105" s="126"/>
      <c r="F105" s="132"/>
      <c r="G105" s="133"/>
      <c r="H105" s="137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e">
        <f t="shared" si="8"/>
        <v>#N/A</v>
      </c>
    </row>
    <row r="106" spans="1:14" ht="45" customHeight="1">
      <c r="A106" s="135"/>
      <c r="B106" s="129"/>
      <c r="C106" s="136"/>
      <c r="D106" s="131"/>
      <c r="E106" s="126"/>
      <c r="F106" s="132"/>
      <c r="G106" s="133"/>
      <c r="H106" s="137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e">
        <f t="shared" si="8"/>
        <v>#N/A</v>
      </c>
    </row>
    <row r="107" spans="1:14" ht="45" customHeight="1">
      <c r="A107" s="135"/>
      <c r="B107" s="129"/>
      <c r="C107" s="136"/>
      <c r="D107" s="131"/>
      <c r="E107" s="126"/>
      <c r="F107" s="132"/>
      <c r="G107" s="133"/>
      <c r="H107" s="137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e">
        <f t="shared" si="8"/>
        <v>#N/A</v>
      </c>
    </row>
    <row r="108" spans="1:14" ht="45" customHeight="1">
      <c r="A108" s="135"/>
      <c r="B108" s="129"/>
      <c r="C108" s="136"/>
      <c r="D108" s="131"/>
      <c r="E108" s="126"/>
      <c r="F108" s="132"/>
      <c r="G108" s="133"/>
      <c r="H108" s="137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e">
        <f t="shared" si="8"/>
        <v>#N/A</v>
      </c>
    </row>
    <row r="109" spans="1:14" ht="45" customHeight="1">
      <c r="A109" s="135"/>
      <c r="B109" s="129"/>
      <c r="C109" s="136"/>
      <c r="D109" s="131"/>
      <c r="E109" s="126"/>
      <c r="F109" s="132"/>
      <c r="G109" s="133"/>
      <c r="H109" s="137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e">
        <f t="shared" si="8"/>
        <v>#N/A</v>
      </c>
    </row>
    <row r="110" spans="1:14" ht="45" customHeight="1">
      <c r="A110" s="135"/>
      <c r="B110" s="129"/>
      <c r="C110" s="136"/>
      <c r="D110" s="131"/>
      <c r="E110" s="126"/>
      <c r="F110" s="132"/>
      <c r="G110" s="133"/>
      <c r="H110" s="137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e">
        <f t="shared" si="8"/>
        <v>#N/A</v>
      </c>
    </row>
    <row r="111" spans="1:14" ht="45" customHeight="1">
      <c r="A111" s="135"/>
      <c r="B111" s="129"/>
      <c r="C111" s="136"/>
      <c r="D111" s="131"/>
      <c r="E111" s="126"/>
      <c r="F111" s="132"/>
      <c r="G111" s="133"/>
      <c r="H111" s="137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e">
        <f t="shared" si="8"/>
        <v>#N/A</v>
      </c>
    </row>
    <row r="112" spans="1:14" ht="45" customHeight="1">
      <c r="A112" s="135"/>
      <c r="B112" s="129"/>
      <c r="C112" s="136"/>
      <c r="D112" s="131"/>
      <c r="E112" s="126"/>
      <c r="F112" s="132"/>
      <c r="G112" s="133"/>
      <c r="H112" s="137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e">
        <f t="shared" si="8"/>
        <v>#N/A</v>
      </c>
    </row>
    <row r="113" spans="1:14" ht="45" customHeight="1">
      <c r="A113" s="135"/>
      <c r="B113" s="129"/>
      <c r="C113" s="136"/>
      <c r="D113" s="131"/>
      <c r="E113" s="126"/>
      <c r="F113" s="132"/>
      <c r="G113" s="133"/>
      <c r="H113" s="137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e">
        <f t="shared" si="8"/>
        <v>#N/A</v>
      </c>
    </row>
    <row r="114" spans="1:14" ht="45" customHeight="1">
      <c r="A114" s="135"/>
      <c r="B114" s="129"/>
      <c r="C114" s="136"/>
      <c r="D114" s="131"/>
      <c r="E114" s="126"/>
      <c r="F114" s="132"/>
      <c r="G114" s="133"/>
      <c r="H114" s="137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e">
        <f t="shared" si="8"/>
        <v>#N/A</v>
      </c>
    </row>
    <row r="115" spans="1:14" ht="45" customHeight="1">
      <c r="A115" s="135"/>
      <c r="B115" s="129"/>
      <c r="C115" s="136"/>
      <c r="D115" s="131"/>
      <c r="E115" s="126"/>
      <c r="F115" s="132"/>
      <c r="G115" s="133"/>
      <c r="H115" s="137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e">
        <f t="shared" si="8"/>
        <v>#N/A</v>
      </c>
    </row>
    <row r="116" spans="1:14" ht="45" customHeight="1">
      <c r="A116" s="135"/>
      <c r="B116" s="129"/>
      <c r="C116" s="136"/>
      <c r="D116" s="131"/>
      <c r="E116" s="126"/>
      <c r="F116" s="132"/>
      <c r="G116" s="133"/>
      <c r="H116" s="137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e">
        <f t="shared" si="8"/>
        <v>#N/A</v>
      </c>
    </row>
    <row r="117" spans="1:14" ht="45" customHeight="1">
      <c r="A117" s="135"/>
      <c r="B117" s="129"/>
      <c r="C117" s="136"/>
      <c r="D117" s="131"/>
      <c r="E117" s="126"/>
      <c r="F117" s="132"/>
      <c r="G117" s="133"/>
      <c r="H117" s="137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e">
        <f t="shared" si="8"/>
        <v>#N/A</v>
      </c>
    </row>
    <row r="118" spans="1:14" ht="45" customHeight="1">
      <c r="A118" s="135"/>
      <c r="B118" s="129"/>
      <c r="C118" s="136"/>
      <c r="D118" s="131"/>
      <c r="E118" s="126"/>
      <c r="F118" s="132"/>
      <c r="G118" s="133"/>
      <c r="H118" s="137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e">
        <f t="shared" si="8"/>
        <v>#N/A</v>
      </c>
    </row>
    <row r="119" spans="1:14" ht="45" customHeight="1">
      <c r="A119" s="135"/>
      <c r="B119" s="129"/>
      <c r="C119" s="136"/>
      <c r="D119" s="131"/>
      <c r="E119" s="126"/>
      <c r="F119" s="132"/>
      <c r="G119" s="133"/>
      <c r="H119" s="137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e">
        <f t="shared" si="8"/>
        <v>#N/A</v>
      </c>
    </row>
    <row r="120" spans="1:14" ht="45" customHeight="1">
      <c r="A120" s="135"/>
      <c r="B120" s="129"/>
      <c r="C120" s="136"/>
      <c r="D120" s="131"/>
      <c r="E120" s="126"/>
      <c r="F120" s="132"/>
      <c r="G120" s="133"/>
      <c r="H120" s="137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e">
        <f t="shared" si="8"/>
        <v>#N/A</v>
      </c>
    </row>
    <row r="121" spans="1:14" ht="45" customHeight="1">
      <c r="A121" s="135"/>
      <c r="B121" s="129"/>
      <c r="C121" s="136"/>
      <c r="D121" s="131"/>
      <c r="E121" s="126"/>
      <c r="F121" s="132"/>
      <c r="G121" s="133"/>
      <c r="H121" s="137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e">
        <f t="shared" si="8"/>
        <v>#N/A</v>
      </c>
    </row>
    <row r="122" spans="1:14" ht="45" customHeight="1">
      <c r="A122" s="135"/>
      <c r="B122" s="129"/>
      <c r="C122" s="136"/>
      <c r="D122" s="131"/>
      <c r="E122" s="126"/>
      <c r="F122" s="132"/>
      <c r="G122" s="133"/>
      <c r="H122" s="137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e">
        <f t="shared" si="8"/>
        <v>#N/A</v>
      </c>
    </row>
    <row r="123" spans="1:14" ht="45" customHeight="1">
      <c r="A123" s="135"/>
      <c r="B123" s="129"/>
      <c r="C123" s="136"/>
      <c r="D123" s="131"/>
      <c r="E123" s="126"/>
      <c r="F123" s="132"/>
      <c r="G123" s="133"/>
      <c r="H123" s="137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e">
        <f t="shared" si="8"/>
        <v>#N/A</v>
      </c>
    </row>
    <row r="124" spans="1:14" ht="45" customHeight="1">
      <c r="A124" s="135"/>
      <c r="B124" s="129"/>
      <c r="C124" s="136"/>
      <c r="D124" s="131"/>
      <c r="E124" s="126"/>
      <c r="F124" s="132"/>
      <c r="G124" s="133"/>
      <c r="H124" s="137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e">
        <f t="shared" si="8"/>
        <v>#N/A</v>
      </c>
    </row>
    <row r="125" spans="1:14" ht="45" customHeight="1">
      <c r="A125" s="135"/>
      <c r="B125" s="129"/>
      <c r="C125" s="136"/>
      <c r="D125" s="131"/>
      <c r="E125" s="126"/>
      <c r="F125" s="132"/>
      <c r="G125" s="133"/>
      <c r="H125" s="137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e">
        <f t="shared" si="8"/>
        <v>#N/A</v>
      </c>
    </row>
    <row r="126" spans="1:14" ht="45" customHeight="1">
      <c r="A126" s="135"/>
      <c r="B126" s="129"/>
      <c r="C126" s="136"/>
      <c r="D126" s="131"/>
      <c r="E126" s="126"/>
      <c r="F126" s="132"/>
      <c r="G126" s="133"/>
      <c r="H126" s="137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e">
        <f t="shared" si="8"/>
        <v>#N/A</v>
      </c>
    </row>
    <row r="127" spans="1:14" ht="45" customHeight="1">
      <c r="A127" s="135"/>
      <c r="B127" s="129"/>
      <c r="C127" s="136"/>
      <c r="D127" s="131"/>
      <c r="E127" s="126"/>
      <c r="F127" s="132"/>
      <c r="G127" s="133"/>
      <c r="H127" s="137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e">
        <f t="shared" si="8"/>
        <v>#N/A</v>
      </c>
    </row>
    <row r="128" spans="1:14" ht="45" customHeight="1">
      <c r="A128" s="135"/>
      <c r="B128" s="129"/>
      <c r="C128" s="136"/>
      <c r="D128" s="131"/>
      <c r="E128" s="126"/>
      <c r="F128" s="132"/>
      <c r="G128" s="133"/>
      <c r="H128" s="137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e">
        <f t="shared" si="8"/>
        <v>#N/A</v>
      </c>
    </row>
    <row r="129" spans="1:14" ht="45" customHeight="1">
      <c r="A129" s="135"/>
      <c r="B129" s="129"/>
      <c r="C129" s="136"/>
      <c r="D129" s="131"/>
      <c r="E129" s="126"/>
      <c r="F129" s="132"/>
      <c r="G129" s="133"/>
      <c r="H129" s="137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e">
        <f t="shared" si="8"/>
        <v>#N/A</v>
      </c>
    </row>
    <row r="130" spans="1:14" ht="45" customHeight="1">
      <c r="A130" s="135"/>
      <c r="B130" s="129"/>
      <c r="C130" s="136"/>
      <c r="D130" s="131"/>
      <c r="E130" s="126"/>
      <c r="F130" s="132"/>
      <c r="G130" s="133"/>
      <c r="H130" s="137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e">
        <f t="shared" si="8"/>
        <v>#N/A</v>
      </c>
    </row>
    <row r="131" spans="1:14" ht="45" customHeight="1">
      <c r="A131" s="135"/>
      <c r="B131" s="129"/>
      <c r="C131" s="136"/>
      <c r="D131" s="131"/>
      <c r="E131" s="126"/>
      <c r="F131" s="132"/>
      <c r="G131" s="133"/>
      <c r="H131" s="137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e">
        <f t="shared" si="8"/>
        <v>#N/A</v>
      </c>
    </row>
    <row r="132" spans="1:14" ht="45" customHeight="1">
      <c r="A132" s="135"/>
      <c r="B132" s="129"/>
      <c r="C132" s="136"/>
      <c r="D132" s="131"/>
      <c r="E132" s="126"/>
      <c r="F132" s="132"/>
      <c r="G132" s="133"/>
      <c r="H132" s="137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e">
        <f t="shared" ref="N132:N195" si="13">AND($M$1="Flat Rate",M132="Staff_Costs")</f>
        <v>#N/A</v>
      </c>
    </row>
    <row r="133" spans="1:14" ht="45" customHeight="1">
      <c r="A133" s="135"/>
      <c r="B133" s="129"/>
      <c r="C133" s="136"/>
      <c r="D133" s="131"/>
      <c r="E133" s="126"/>
      <c r="F133" s="132"/>
      <c r="G133" s="133"/>
      <c r="H133" s="137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e">
        <f t="shared" si="13"/>
        <v>#N/A</v>
      </c>
    </row>
    <row r="134" spans="1:14" ht="45" customHeight="1">
      <c r="A134" s="135"/>
      <c r="B134" s="129"/>
      <c r="C134" s="136"/>
      <c r="D134" s="131"/>
      <c r="E134" s="126"/>
      <c r="F134" s="132"/>
      <c r="G134" s="133"/>
      <c r="H134" s="137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e">
        <f t="shared" si="13"/>
        <v>#N/A</v>
      </c>
    </row>
    <row r="135" spans="1:14" ht="45" customHeight="1">
      <c r="A135" s="135"/>
      <c r="B135" s="129"/>
      <c r="C135" s="136"/>
      <c r="D135" s="131"/>
      <c r="E135" s="126"/>
      <c r="F135" s="132"/>
      <c r="G135" s="133"/>
      <c r="H135" s="137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e">
        <f t="shared" si="13"/>
        <v>#N/A</v>
      </c>
    </row>
    <row r="136" spans="1:14" ht="45" customHeight="1">
      <c r="A136" s="135"/>
      <c r="B136" s="129"/>
      <c r="C136" s="136"/>
      <c r="D136" s="131"/>
      <c r="E136" s="126"/>
      <c r="F136" s="132"/>
      <c r="G136" s="133"/>
      <c r="H136" s="137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e">
        <f t="shared" si="13"/>
        <v>#N/A</v>
      </c>
    </row>
    <row r="137" spans="1:14" ht="45" customHeight="1">
      <c r="A137" s="135"/>
      <c r="B137" s="129"/>
      <c r="C137" s="136"/>
      <c r="D137" s="131"/>
      <c r="E137" s="126"/>
      <c r="F137" s="132"/>
      <c r="G137" s="133"/>
      <c r="H137" s="137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e">
        <f t="shared" si="13"/>
        <v>#N/A</v>
      </c>
    </row>
    <row r="138" spans="1:14" ht="45" customHeight="1">
      <c r="A138" s="135"/>
      <c r="B138" s="129"/>
      <c r="C138" s="136"/>
      <c r="D138" s="131"/>
      <c r="E138" s="126"/>
      <c r="F138" s="132"/>
      <c r="G138" s="133"/>
      <c r="H138" s="137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e">
        <f t="shared" si="13"/>
        <v>#N/A</v>
      </c>
    </row>
    <row r="139" spans="1:14" ht="45" customHeight="1">
      <c r="A139" s="135"/>
      <c r="B139" s="129"/>
      <c r="C139" s="136"/>
      <c r="D139" s="131"/>
      <c r="E139" s="126"/>
      <c r="F139" s="132"/>
      <c r="G139" s="133"/>
      <c r="H139" s="137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e">
        <f t="shared" si="13"/>
        <v>#N/A</v>
      </c>
    </row>
    <row r="140" spans="1:14" ht="45" customHeight="1">
      <c r="A140" s="135"/>
      <c r="B140" s="129"/>
      <c r="C140" s="136"/>
      <c r="D140" s="131"/>
      <c r="E140" s="126"/>
      <c r="F140" s="132"/>
      <c r="G140" s="133"/>
      <c r="H140" s="137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e">
        <f t="shared" si="13"/>
        <v>#N/A</v>
      </c>
    </row>
    <row r="141" spans="1:14" ht="45" customHeight="1">
      <c r="A141" s="135"/>
      <c r="B141" s="129"/>
      <c r="C141" s="136"/>
      <c r="D141" s="131"/>
      <c r="E141" s="126"/>
      <c r="F141" s="132"/>
      <c r="G141" s="133"/>
      <c r="H141" s="137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e">
        <f t="shared" si="13"/>
        <v>#N/A</v>
      </c>
    </row>
    <row r="142" spans="1:14" ht="45" customHeight="1">
      <c r="A142" s="135"/>
      <c r="B142" s="129"/>
      <c r="C142" s="136"/>
      <c r="D142" s="131"/>
      <c r="E142" s="126"/>
      <c r="F142" s="132"/>
      <c r="G142" s="133"/>
      <c r="H142" s="137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e">
        <f t="shared" si="13"/>
        <v>#N/A</v>
      </c>
    </row>
    <row r="143" spans="1:14" ht="45" customHeight="1">
      <c r="A143" s="135"/>
      <c r="B143" s="129"/>
      <c r="C143" s="136"/>
      <c r="D143" s="131"/>
      <c r="E143" s="126"/>
      <c r="F143" s="132"/>
      <c r="G143" s="133"/>
      <c r="H143" s="137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e">
        <f t="shared" si="13"/>
        <v>#N/A</v>
      </c>
    </row>
    <row r="144" spans="1:14" ht="45" customHeight="1">
      <c r="A144" s="135"/>
      <c r="B144" s="129"/>
      <c r="C144" s="136"/>
      <c r="D144" s="131"/>
      <c r="E144" s="126"/>
      <c r="F144" s="132"/>
      <c r="G144" s="133"/>
      <c r="H144" s="137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e">
        <f t="shared" si="13"/>
        <v>#N/A</v>
      </c>
    </row>
    <row r="145" spans="1:14" ht="45" customHeight="1">
      <c r="A145" s="135"/>
      <c r="B145" s="129"/>
      <c r="C145" s="136"/>
      <c r="D145" s="131"/>
      <c r="E145" s="126"/>
      <c r="F145" s="132"/>
      <c r="G145" s="133"/>
      <c r="H145" s="137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e">
        <f t="shared" si="13"/>
        <v>#N/A</v>
      </c>
    </row>
    <row r="146" spans="1:14" ht="45" customHeight="1">
      <c r="A146" s="135"/>
      <c r="B146" s="129"/>
      <c r="C146" s="136"/>
      <c r="D146" s="131"/>
      <c r="E146" s="126"/>
      <c r="F146" s="132"/>
      <c r="G146" s="133"/>
      <c r="H146" s="137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e">
        <f t="shared" si="13"/>
        <v>#N/A</v>
      </c>
    </row>
    <row r="147" spans="1:14" ht="45" customHeight="1">
      <c r="A147" s="135"/>
      <c r="B147" s="129"/>
      <c r="C147" s="136"/>
      <c r="D147" s="131"/>
      <c r="E147" s="126"/>
      <c r="F147" s="132"/>
      <c r="G147" s="133"/>
      <c r="H147" s="137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e">
        <f t="shared" si="13"/>
        <v>#N/A</v>
      </c>
    </row>
    <row r="148" spans="1:14" ht="45" customHeight="1">
      <c r="A148" s="135"/>
      <c r="B148" s="129"/>
      <c r="C148" s="136"/>
      <c r="D148" s="131"/>
      <c r="E148" s="126"/>
      <c r="F148" s="132"/>
      <c r="G148" s="133"/>
      <c r="H148" s="137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e">
        <f t="shared" si="13"/>
        <v>#N/A</v>
      </c>
    </row>
    <row r="149" spans="1:14" ht="45" customHeight="1">
      <c r="A149" s="135"/>
      <c r="B149" s="129"/>
      <c r="C149" s="136"/>
      <c r="D149" s="131"/>
      <c r="E149" s="126"/>
      <c r="F149" s="132"/>
      <c r="G149" s="133"/>
      <c r="H149" s="137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e">
        <f t="shared" si="13"/>
        <v>#N/A</v>
      </c>
    </row>
    <row r="150" spans="1:14" ht="45" customHeight="1">
      <c r="A150" s="135"/>
      <c r="B150" s="129"/>
      <c r="C150" s="136"/>
      <c r="D150" s="131"/>
      <c r="E150" s="126"/>
      <c r="F150" s="132"/>
      <c r="G150" s="133"/>
      <c r="H150" s="137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e">
        <f t="shared" si="13"/>
        <v>#N/A</v>
      </c>
    </row>
    <row r="151" spans="1:14" ht="45" customHeight="1">
      <c r="A151" s="135"/>
      <c r="B151" s="129"/>
      <c r="C151" s="136"/>
      <c r="D151" s="131"/>
      <c r="E151" s="126"/>
      <c r="F151" s="132"/>
      <c r="G151" s="133"/>
      <c r="H151" s="137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e">
        <f t="shared" si="13"/>
        <v>#N/A</v>
      </c>
    </row>
    <row r="152" spans="1:14" ht="45" customHeight="1">
      <c r="A152" s="135"/>
      <c r="B152" s="129"/>
      <c r="C152" s="136"/>
      <c r="D152" s="131"/>
      <c r="E152" s="126"/>
      <c r="F152" s="132"/>
      <c r="G152" s="133"/>
      <c r="H152" s="137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e">
        <f t="shared" si="13"/>
        <v>#N/A</v>
      </c>
    </row>
    <row r="153" spans="1:14" ht="45" customHeight="1">
      <c r="A153" s="135"/>
      <c r="B153" s="129"/>
      <c r="C153" s="136"/>
      <c r="D153" s="131"/>
      <c r="E153" s="126"/>
      <c r="F153" s="132"/>
      <c r="G153" s="133"/>
      <c r="H153" s="137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e">
        <f t="shared" si="13"/>
        <v>#N/A</v>
      </c>
    </row>
    <row r="154" spans="1:14" ht="45" customHeight="1">
      <c r="A154" s="135"/>
      <c r="B154" s="129"/>
      <c r="C154" s="136"/>
      <c r="D154" s="131"/>
      <c r="E154" s="126"/>
      <c r="F154" s="132"/>
      <c r="G154" s="133"/>
      <c r="H154" s="137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e">
        <f t="shared" si="13"/>
        <v>#N/A</v>
      </c>
    </row>
    <row r="155" spans="1:14" ht="45" customHeight="1">
      <c r="A155" s="135"/>
      <c r="B155" s="129"/>
      <c r="C155" s="136"/>
      <c r="D155" s="131"/>
      <c r="E155" s="126"/>
      <c r="F155" s="132"/>
      <c r="G155" s="133"/>
      <c r="H155" s="137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e">
        <f t="shared" si="13"/>
        <v>#N/A</v>
      </c>
    </row>
    <row r="156" spans="1:14" ht="45" customHeight="1">
      <c r="A156" s="135"/>
      <c r="B156" s="129"/>
      <c r="C156" s="136"/>
      <c r="D156" s="131"/>
      <c r="E156" s="126"/>
      <c r="F156" s="132"/>
      <c r="G156" s="133"/>
      <c r="H156" s="137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e">
        <f t="shared" si="13"/>
        <v>#N/A</v>
      </c>
    </row>
    <row r="157" spans="1:14" ht="45" customHeight="1">
      <c r="A157" s="135"/>
      <c r="B157" s="129"/>
      <c r="C157" s="136"/>
      <c r="D157" s="131"/>
      <c r="E157" s="126"/>
      <c r="F157" s="132"/>
      <c r="G157" s="133"/>
      <c r="H157" s="137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e">
        <f t="shared" si="13"/>
        <v>#N/A</v>
      </c>
    </row>
    <row r="158" spans="1:14" ht="45" customHeight="1">
      <c r="A158" s="135"/>
      <c r="B158" s="129"/>
      <c r="C158" s="136"/>
      <c r="D158" s="131"/>
      <c r="E158" s="126"/>
      <c r="F158" s="132"/>
      <c r="G158" s="133"/>
      <c r="H158" s="137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e">
        <f t="shared" si="13"/>
        <v>#N/A</v>
      </c>
    </row>
    <row r="159" spans="1:14" ht="45" customHeight="1">
      <c r="A159" s="135"/>
      <c r="B159" s="129"/>
      <c r="C159" s="136"/>
      <c r="D159" s="131"/>
      <c r="E159" s="126"/>
      <c r="F159" s="132"/>
      <c r="G159" s="133"/>
      <c r="H159" s="137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e">
        <f t="shared" si="13"/>
        <v>#N/A</v>
      </c>
    </row>
    <row r="160" spans="1:14" ht="45" customHeight="1">
      <c r="A160" s="135"/>
      <c r="B160" s="129"/>
      <c r="C160" s="136"/>
      <c r="D160" s="131"/>
      <c r="E160" s="126"/>
      <c r="F160" s="132"/>
      <c r="G160" s="133"/>
      <c r="H160" s="137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e">
        <f t="shared" si="13"/>
        <v>#N/A</v>
      </c>
    </row>
    <row r="161" spans="1:14" ht="45" customHeight="1">
      <c r="A161" s="135"/>
      <c r="B161" s="129"/>
      <c r="C161" s="136"/>
      <c r="D161" s="131"/>
      <c r="E161" s="126"/>
      <c r="F161" s="132"/>
      <c r="G161" s="133"/>
      <c r="H161" s="137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e">
        <f t="shared" si="13"/>
        <v>#N/A</v>
      </c>
    </row>
    <row r="162" spans="1:14" ht="45" customHeight="1">
      <c r="A162" s="135"/>
      <c r="B162" s="129"/>
      <c r="C162" s="136"/>
      <c r="D162" s="131"/>
      <c r="E162" s="126"/>
      <c r="F162" s="132"/>
      <c r="G162" s="133"/>
      <c r="H162" s="137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e">
        <f t="shared" si="13"/>
        <v>#N/A</v>
      </c>
    </row>
    <row r="163" spans="1:14" ht="45" customHeight="1">
      <c r="A163" s="135"/>
      <c r="B163" s="129"/>
      <c r="C163" s="136"/>
      <c r="D163" s="131"/>
      <c r="E163" s="126"/>
      <c r="F163" s="132"/>
      <c r="G163" s="133"/>
      <c r="H163" s="137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e">
        <f t="shared" si="13"/>
        <v>#N/A</v>
      </c>
    </row>
    <row r="164" spans="1:14" ht="45" customHeight="1">
      <c r="A164" s="135"/>
      <c r="B164" s="129"/>
      <c r="C164" s="136"/>
      <c r="D164" s="131"/>
      <c r="E164" s="126"/>
      <c r="F164" s="132"/>
      <c r="G164" s="133"/>
      <c r="H164" s="137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e">
        <f t="shared" si="13"/>
        <v>#N/A</v>
      </c>
    </row>
    <row r="165" spans="1:14" ht="45" customHeight="1">
      <c r="A165" s="135"/>
      <c r="B165" s="129"/>
      <c r="C165" s="136"/>
      <c r="D165" s="131"/>
      <c r="E165" s="126"/>
      <c r="F165" s="132"/>
      <c r="G165" s="133"/>
      <c r="H165" s="137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e">
        <f t="shared" si="13"/>
        <v>#N/A</v>
      </c>
    </row>
    <row r="166" spans="1:14" ht="45" customHeight="1">
      <c r="A166" s="135"/>
      <c r="B166" s="129"/>
      <c r="C166" s="136"/>
      <c r="D166" s="131"/>
      <c r="E166" s="126"/>
      <c r="F166" s="132"/>
      <c r="G166" s="133"/>
      <c r="H166" s="137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e">
        <f t="shared" si="13"/>
        <v>#N/A</v>
      </c>
    </row>
    <row r="167" spans="1:14" ht="45" customHeight="1">
      <c r="A167" s="135"/>
      <c r="B167" s="129"/>
      <c r="C167" s="136"/>
      <c r="D167" s="131"/>
      <c r="E167" s="126"/>
      <c r="F167" s="132"/>
      <c r="G167" s="133"/>
      <c r="H167" s="137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e">
        <f t="shared" si="13"/>
        <v>#N/A</v>
      </c>
    </row>
    <row r="168" spans="1:14" ht="45" customHeight="1">
      <c r="A168" s="135"/>
      <c r="B168" s="129"/>
      <c r="C168" s="136"/>
      <c r="D168" s="131"/>
      <c r="E168" s="126"/>
      <c r="F168" s="132"/>
      <c r="G168" s="133"/>
      <c r="H168" s="137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e">
        <f t="shared" si="13"/>
        <v>#N/A</v>
      </c>
    </row>
    <row r="169" spans="1:14" ht="45" customHeight="1">
      <c r="A169" s="135"/>
      <c r="B169" s="129"/>
      <c r="C169" s="136"/>
      <c r="D169" s="131"/>
      <c r="E169" s="126"/>
      <c r="F169" s="132"/>
      <c r="G169" s="133"/>
      <c r="H169" s="137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e">
        <f t="shared" si="13"/>
        <v>#N/A</v>
      </c>
    </row>
    <row r="170" spans="1:14" ht="45" customHeight="1">
      <c r="A170" s="135"/>
      <c r="B170" s="129"/>
      <c r="C170" s="136"/>
      <c r="D170" s="131"/>
      <c r="E170" s="126"/>
      <c r="F170" s="132"/>
      <c r="G170" s="133"/>
      <c r="H170" s="137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e">
        <f t="shared" si="13"/>
        <v>#N/A</v>
      </c>
    </row>
    <row r="171" spans="1:14" ht="45" customHeight="1">
      <c r="A171" s="135"/>
      <c r="B171" s="129"/>
      <c r="C171" s="136"/>
      <c r="D171" s="131"/>
      <c r="E171" s="126"/>
      <c r="F171" s="132"/>
      <c r="G171" s="133"/>
      <c r="H171" s="137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e">
        <f t="shared" si="13"/>
        <v>#N/A</v>
      </c>
    </row>
    <row r="172" spans="1:14" ht="45" customHeight="1">
      <c r="A172" s="135"/>
      <c r="B172" s="129"/>
      <c r="C172" s="136"/>
      <c r="D172" s="131"/>
      <c r="E172" s="126"/>
      <c r="F172" s="132"/>
      <c r="G172" s="133"/>
      <c r="H172" s="137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e">
        <f t="shared" si="13"/>
        <v>#N/A</v>
      </c>
    </row>
    <row r="173" spans="1:14" ht="45" customHeight="1">
      <c r="A173" s="135"/>
      <c r="B173" s="129"/>
      <c r="C173" s="136"/>
      <c r="D173" s="131"/>
      <c r="E173" s="126"/>
      <c r="F173" s="132"/>
      <c r="G173" s="133"/>
      <c r="H173" s="137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e">
        <f t="shared" si="13"/>
        <v>#N/A</v>
      </c>
    </row>
    <row r="174" spans="1:14" ht="45" customHeight="1">
      <c r="A174" s="135"/>
      <c r="B174" s="129"/>
      <c r="C174" s="136"/>
      <c r="D174" s="131"/>
      <c r="E174" s="126"/>
      <c r="F174" s="132"/>
      <c r="G174" s="133"/>
      <c r="H174" s="137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e">
        <f t="shared" si="13"/>
        <v>#N/A</v>
      </c>
    </row>
    <row r="175" spans="1:14" ht="45" customHeight="1">
      <c r="A175" s="135"/>
      <c r="B175" s="129"/>
      <c r="C175" s="136"/>
      <c r="D175" s="131"/>
      <c r="E175" s="126"/>
      <c r="F175" s="132"/>
      <c r="G175" s="133"/>
      <c r="H175" s="137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e">
        <f t="shared" si="13"/>
        <v>#N/A</v>
      </c>
    </row>
    <row r="176" spans="1:14" ht="45" customHeight="1">
      <c r="A176" s="135"/>
      <c r="B176" s="129"/>
      <c r="C176" s="136"/>
      <c r="D176" s="131"/>
      <c r="E176" s="126"/>
      <c r="F176" s="132"/>
      <c r="G176" s="133"/>
      <c r="H176" s="137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e">
        <f t="shared" si="13"/>
        <v>#N/A</v>
      </c>
    </row>
    <row r="177" spans="1:14" ht="45" customHeight="1">
      <c r="A177" s="135"/>
      <c r="B177" s="129"/>
      <c r="C177" s="136"/>
      <c r="D177" s="131"/>
      <c r="E177" s="126"/>
      <c r="F177" s="132"/>
      <c r="G177" s="133"/>
      <c r="H177" s="137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e">
        <f t="shared" si="13"/>
        <v>#N/A</v>
      </c>
    </row>
    <row r="178" spans="1:14" ht="45" customHeight="1">
      <c r="A178" s="135"/>
      <c r="B178" s="129"/>
      <c r="C178" s="136"/>
      <c r="D178" s="131"/>
      <c r="E178" s="126"/>
      <c r="F178" s="132"/>
      <c r="G178" s="133"/>
      <c r="H178" s="137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e">
        <f t="shared" si="13"/>
        <v>#N/A</v>
      </c>
    </row>
    <row r="179" spans="1:14" ht="45" customHeight="1">
      <c r="A179" s="135"/>
      <c r="B179" s="129"/>
      <c r="C179" s="136"/>
      <c r="D179" s="131"/>
      <c r="E179" s="126"/>
      <c r="F179" s="132"/>
      <c r="G179" s="133"/>
      <c r="H179" s="137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e">
        <f t="shared" si="13"/>
        <v>#N/A</v>
      </c>
    </row>
    <row r="180" spans="1:14" ht="45" customHeight="1">
      <c r="A180" s="135"/>
      <c r="B180" s="129"/>
      <c r="C180" s="136"/>
      <c r="D180" s="131"/>
      <c r="E180" s="126"/>
      <c r="F180" s="132"/>
      <c r="G180" s="133"/>
      <c r="H180" s="137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e">
        <f t="shared" si="13"/>
        <v>#N/A</v>
      </c>
    </row>
    <row r="181" spans="1:14" ht="45" customHeight="1">
      <c r="A181" s="135"/>
      <c r="B181" s="129"/>
      <c r="C181" s="136"/>
      <c r="D181" s="131"/>
      <c r="E181" s="126"/>
      <c r="F181" s="132"/>
      <c r="G181" s="133"/>
      <c r="H181" s="137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e">
        <f t="shared" si="13"/>
        <v>#N/A</v>
      </c>
    </row>
    <row r="182" spans="1:14" ht="45" customHeight="1">
      <c r="A182" s="135"/>
      <c r="B182" s="129"/>
      <c r="C182" s="136"/>
      <c r="D182" s="131"/>
      <c r="E182" s="126"/>
      <c r="F182" s="132"/>
      <c r="G182" s="133"/>
      <c r="H182" s="137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e">
        <f t="shared" si="13"/>
        <v>#N/A</v>
      </c>
    </row>
    <row r="183" spans="1:14" ht="45" customHeight="1">
      <c r="A183" s="135"/>
      <c r="B183" s="129"/>
      <c r="C183" s="136"/>
      <c r="D183" s="131"/>
      <c r="E183" s="126"/>
      <c r="F183" s="132"/>
      <c r="G183" s="133"/>
      <c r="H183" s="137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e">
        <f t="shared" si="13"/>
        <v>#N/A</v>
      </c>
    </row>
    <row r="184" spans="1:14" ht="45" customHeight="1">
      <c r="A184" s="135"/>
      <c r="B184" s="129"/>
      <c r="C184" s="136"/>
      <c r="D184" s="131"/>
      <c r="E184" s="126"/>
      <c r="F184" s="132"/>
      <c r="G184" s="133"/>
      <c r="H184" s="137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e">
        <f t="shared" si="13"/>
        <v>#N/A</v>
      </c>
    </row>
    <row r="185" spans="1:14" ht="45" customHeight="1">
      <c r="A185" s="135"/>
      <c r="B185" s="129"/>
      <c r="C185" s="136"/>
      <c r="D185" s="131"/>
      <c r="E185" s="126"/>
      <c r="F185" s="132"/>
      <c r="G185" s="133"/>
      <c r="H185" s="137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e">
        <f t="shared" si="13"/>
        <v>#N/A</v>
      </c>
    </row>
    <row r="186" spans="1:14" ht="45" customHeight="1">
      <c r="A186" s="135"/>
      <c r="B186" s="129"/>
      <c r="C186" s="136"/>
      <c r="D186" s="131"/>
      <c r="E186" s="126"/>
      <c r="F186" s="132"/>
      <c r="G186" s="133"/>
      <c r="H186" s="137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e">
        <f t="shared" si="13"/>
        <v>#N/A</v>
      </c>
    </row>
    <row r="187" spans="1:14" ht="45" customHeight="1">
      <c r="A187" s="135"/>
      <c r="B187" s="129"/>
      <c r="C187" s="136"/>
      <c r="D187" s="131"/>
      <c r="E187" s="126"/>
      <c r="F187" s="132"/>
      <c r="G187" s="133"/>
      <c r="H187" s="137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e">
        <f t="shared" si="13"/>
        <v>#N/A</v>
      </c>
    </row>
    <row r="188" spans="1:14" ht="45" customHeight="1">
      <c r="A188" s="135"/>
      <c r="B188" s="129"/>
      <c r="C188" s="136"/>
      <c r="D188" s="131"/>
      <c r="E188" s="126"/>
      <c r="F188" s="132"/>
      <c r="G188" s="133"/>
      <c r="H188" s="137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e">
        <f t="shared" si="13"/>
        <v>#N/A</v>
      </c>
    </row>
    <row r="189" spans="1:14" ht="45" customHeight="1">
      <c r="A189" s="135"/>
      <c r="B189" s="129"/>
      <c r="C189" s="136"/>
      <c r="D189" s="131"/>
      <c r="E189" s="126"/>
      <c r="F189" s="132"/>
      <c r="G189" s="133"/>
      <c r="H189" s="137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e">
        <f t="shared" si="13"/>
        <v>#N/A</v>
      </c>
    </row>
    <row r="190" spans="1:14" ht="45" customHeight="1">
      <c r="A190" s="135"/>
      <c r="B190" s="129"/>
      <c r="C190" s="136"/>
      <c r="D190" s="131"/>
      <c r="E190" s="126"/>
      <c r="F190" s="132"/>
      <c r="G190" s="133"/>
      <c r="H190" s="137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e">
        <f t="shared" si="13"/>
        <v>#N/A</v>
      </c>
    </row>
    <row r="191" spans="1:14" ht="45" customHeight="1">
      <c r="A191" s="135"/>
      <c r="B191" s="129"/>
      <c r="C191" s="136"/>
      <c r="D191" s="131"/>
      <c r="E191" s="126"/>
      <c r="F191" s="132"/>
      <c r="G191" s="133"/>
      <c r="H191" s="137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e">
        <f t="shared" si="13"/>
        <v>#N/A</v>
      </c>
    </row>
    <row r="192" spans="1:14" ht="45" customHeight="1">
      <c r="A192" s="135"/>
      <c r="B192" s="129"/>
      <c r="C192" s="136"/>
      <c r="D192" s="131"/>
      <c r="E192" s="126"/>
      <c r="F192" s="132"/>
      <c r="G192" s="133"/>
      <c r="H192" s="137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e">
        <f t="shared" si="13"/>
        <v>#N/A</v>
      </c>
    </row>
    <row r="193" spans="1:16" ht="45" customHeight="1">
      <c r="A193" s="135"/>
      <c r="B193" s="129"/>
      <c r="C193" s="136"/>
      <c r="D193" s="131"/>
      <c r="E193" s="126"/>
      <c r="F193" s="132"/>
      <c r="G193" s="133"/>
      <c r="H193" s="137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e">
        <f t="shared" si="13"/>
        <v>#N/A</v>
      </c>
    </row>
    <row r="194" spans="1:16" ht="45" customHeight="1">
      <c r="A194" s="135"/>
      <c r="B194" s="129"/>
      <c r="C194" s="136"/>
      <c r="D194" s="131"/>
      <c r="E194" s="126"/>
      <c r="F194" s="132"/>
      <c r="G194" s="133"/>
      <c r="H194" s="137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e">
        <f t="shared" si="13"/>
        <v>#N/A</v>
      </c>
    </row>
    <row r="195" spans="1:16" ht="45" customHeight="1">
      <c r="A195" s="135"/>
      <c r="B195" s="129"/>
      <c r="C195" s="136"/>
      <c r="D195" s="131"/>
      <c r="E195" s="126"/>
      <c r="F195" s="132"/>
      <c r="G195" s="133"/>
      <c r="H195" s="137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e">
        <f t="shared" si="13"/>
        <v>#N/A</v>
      </c>
    </row>
    <row r="196" spans="1:16" ht="45" customHeight="1">
      <c r="A196" s="135"/>
      <c r="B196" s="129"/>
      <c r="C196" s="136"/>
      <c r="D196" s="131"/>
      <c r="E196" s="126"/>
      <c r="F196" s="132"/>
      <c r="G196" s="133"/>
      <c r="H196" s="137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e">
        <f t="shared" ref="N196:N201" si="18">AND($M$1="Flat Rate",M196="Staff_Costs")</f>
        <v>#N/A</v>
      </c>
    </row>
    <row r="197" spans="1:16" ht="45" customHeight="1">
      <c r="A197" s="135"/>
      <c r="B197" s="129"/>
      <c r="C197" s="136"/>
      <c r="D197" s="131"/>
      <c r="E197" s="126"/>
      <c r="F197" s="132"/>
      <c r="G197" s="133"/>
      <c r="H197" s="137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e">
        <f t="shared" si="18"/>
        <v>#N/A</v>
      </c>
    </row>
    <row r="198" spans="1:16" ht="47.25" customHeight="1">
      <c r="A198" s="135"/>
      <c r="B198" s="129"/>
      <c r="C198" s="136"/>
      <c r="D198" s="131"/>
      <c r="E198" s="126"/>
      <c r="F198" s="132"/>
      <c r="G198" s="133"/>
      <c r="H198" s="137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e">
        <f t="shared" si="18"/>
        <v>#N/A</v>
      </c>
    </row>
    <row r="199" spans="1:16" ht="47.25" customHeight="1">
      <c r="A199" s="135"/>
      <c r="B199" s="129"/>
      <c r="C199" s="136"/>
      <c r="D199" s="131"/>
      <c r="E199" s="126"/>
      <c r="F199" s="132"/>
      <c r="G199" s="133"/>
      <c r="H199" s="137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e">
        <f t="shared" si="18"/>
        <v>#N/A</v>
      </c>
    </row>
    <row r="200" spans="1:16" ht="47.25" customHeight="1">
      <c r="A200" s="135"/>
      <c r="B200" s="129"/>
      <c r="C200" s="136"/>
      <c r="D200" s="131"/>
      <c r="E200" s="126"/>
      <c r="F200" s="132"/>
      <c r="G200" s="133"/>
      <c r="H200" s="137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e">
        <f t="shared" si="18"/>
        <v>#N/A</v>
      </c>
    </row>
    <row r="201" spans="1:16" ht="47.25" customHeight="1">
      <c r="A201" s="135"/>
      <c r="B201" s="129"/>
      <c r="C201" s="136"/>
      <c r="D201" s="131"/>
      <c r="E201" s="126"/>
      <c r="F201" s="132"/>
      <c r="G201" s="133"/>
      <c r="H201" s="137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e">
        <f t="shared" si="18"/>
        <v>#N/A</v>
      </c>
    </row>
    <row r="202" spans="1:16" ht="18.75">
      <c r="L202" t="s">
        <v>524</v>
      </c>
      <c r="M202" s="66" t="str">
        <f>IF(I1=0,"-",IF(M203=0,"No Staff Costs",IF(P204=TRUE,"ERROR",IF(N204=TRUE,"Flat Rate", IF(N204=FALSE,"Real Costs", )))))</f>
        <v>-</v>
      </c>
      <c r="N202" t="s">
        <v>521</v>
      </c>
      <c r="O202" t="s">
        <v>522</v>
      </c>
      <c r="P202" t="s">
        <v>523</v>
      </c>
    </row>
    <row r="203" spans="1:16">
      <c r="L203" t="s">
        <v>526</v>
      </c>
      <c r="M203">
        <f>COUNTIF(L3:L201,"Staff*")</f>
        <v>0</v>
      </c>
    </row>
    <row r="204" spans="1:16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>
      <c r="L205" t="s">
        <v>518</v>
      </c>
      <c r="M205">
        <f>COUNTIF(L3:L201,"Staff Costs-Real*")</f>
        <v>0</v>
      </c>
    </row>
    <row r="206" spans="1:16" ht="18.75">
      <c r="L206" t="s">
        <v>525</v>
      </c>
      <c r="M206" s="66" t="str">
        <f>IF(I1=0,"-",IF(M207=0,"No O&amp;A Costs",IF(P208=TRUE,"ERROR",IF(N208=TRUE,"Flat Rate", IF(N208=FALSE,"Real Costs", )))))</f>
        <v>-</v>
      </c>
    </row>
    <row r="207" spans="1:16">
      <c r="L207" t="s">
        <v>527</v>
      </c>
      <c r="M207">
        <f>COUNTIF(L3:L201,"Office*")</f>
        <v>0</v>
      </c>
    </row>
    <row r="208" spans="1:16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>
      <c r="L209" t="s">
        <v>520</v>
      </c>
      <c r="M209">
        <f>COUNTIF(L3:L201,"Office and Administration-Real*")</f>
        <v>0</v>
      </c>
    </row>
  </sheetData>
  <sheetProtection password="C613" sheet="1" objects="1" scenarios="1" sort="0"/>
  <autoFilter ref="A2:I2"/>
  <dataConsolidate/>
  <mergeCells count="1">
    <mergeCell ref="G1:H1"/>
  </mergeCells>
  <conditionalFormatting sqref="I3:I201">
    <cfRule type="expression" dxfId="59" priority="20" stopIfTrue="1">
      <formula>AND(C3="",NOT(H3=""))</formula>
    </cfRule>
  </conditionalFormatting>
  <conditionalFormatting sqref="E1:F1">
    <cfRule type="cellIs" dxfId="58" priority="18" stopIfTrue="1" operator="equal">
      <formula>0</formula>
    </cfRule>
  </conditionalFormatting>
  <conditionalFormatting sqref="I3:I201">
    <cfRule type="expression" dxfId="57" priority="16" stopIfTrue="1">
      <formula>AND(B3="",NOT(H3=""))</formula>
    </cfRule>
  </conditionalFormatting>
  <conditionalFormatting sqref="F3">
    <cfRule type="expression" dxfId="56" priority="15" stopIfTrue="1">
      <formula>D3="Flat Rate"</formula>
    </cfRule>
  </conditionalFormatting>
  <conditionalFormatting sqref="F4:F201">
    <cfRule type="expression" dxfId="55" priority="14" stopIfTrue="1">
      <formula>D4="Flat Rate"</formula>
    </cfRule>
  </conditionalFormatting>
  <conditionalFormatting sqref="G3:G201">
    <cfRule type="expression" dxfId="54" priority="1" stopIfTrue="1">
      <formula>D3="Flat Rate"</formula>
    </cfRule>
    <cfRule type="expression" dxfId="53" priority="2" stopIfTrue="1">
      <formula>C3="Staff Costs"</formula>
    </cfRule>
    <cfRule type="expression" dxfId="52" priority="3" stopIfTrue="1">
      <formula>C3="Travel and Accommodation"</formula>
    </cfRule>
  </conditionalFormatting>
  <dataValidations count="5"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sqref="C3:C201">
      <formula1>Budgetline</formula1>
    </dataValidation>
    <dataValidation type="list" allowBlank="1" showInputMessage="1" showErrorMessage="1" sqref="A3:A201">
      <formula1>WPs</formula1>
    </dataValidation>
    <dataValidation type="list" allowBlank="1" showInputMessage="1" showErrorMessage="1" sqref="B3:B201">
      <formula1>IF(A3="WP1", P6WP1, IF(A3="WP2",P6WP2,IF(A3="WP3",P6WP3,IF(A3="WP4",P6WP4,IF(A3="WP5",P6WP5,IF(A3="WP6",P6WP6,0))))))</formula1>
    </dataValidation>
    <dataValidation type="list" allowBlank="1" showInputMessage="1" showErrorMessage="1" errorTitle="Change Budget line orType" sqref="D3:D201">
      <formula1>IF(N3=TRUE,Flat,INDIRECT(M3))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4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P209"/>
  <sheetViews>
    <sheetView zoomScale="55" zoomScaleNormal="55" zoomScaleSheetLayoutView="70" workbookViewId="0">
      <selection activeCell="G62" sqref="G62"/>
    </sheetView>
  </sheetViews>
  <sheetFormatPr defaultRowHeight="1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0" width="16.5703125" hidden="1" customWidth="1"/>
    <col min="11" max="12" width="0" hidden="1" customWidth="1"/>
    <col min="13" max="13" width="15.140625" hidden="1" customWidth="1"/>
    <col min="14" max="16" width="0" hidden="1" customWidth="1"/>
  </cols>
  <sheetData>
    <row r="1" spans="1:14" ht="15.75">
      <c r="A1" s="36"/>
      <c r="B1" s="36"/>
      <c r="C1" s="36"/>
      <c r="D1" s="55" t="s">
        <v>15</v>
      </c>
      <c r="E1" s="56">
        <f>'Cover page'!C28</f>
        <v>0</v>
      </c>
      <c r="F1" s="56">
        <f>'Cover page'!G28</f>
        <v>0</v>
      </c>
      <c r="G1" s="195" t="s">
        <v>412</v>
      </c>
      <c r="H1" s="196"/>
      <c r="I1" s="52">
        <f>SUMIF(B3:B201,"D*",I3:I201)</f>
        <v>0</v>
      </c>
      <c r="M1">
        <f>'Cover page'!G33</f>
        <v>0</v>
      </c>
    </row>
    <row r="2" spans="1:14" ht="32.25" customHeight="1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L2" s="65" t="s">
        <v>516</v>
      </c>
      <c r="M2" s="65" t="s">
        <v>578</v>
      </c>
      <c r="N2" s="65" t="s">
        <v>580</v>
      </c>
    </row>
    <row r="3" spans="1:14" ht="45" customHeight="1">
      <c r="A3" s="141"/>
      <c r="B3" s="141"/>
      <c r="C3" s="142"/>
      <c r="D3" s="131"/>
      <c r="E3" s="127"/>
      <c r="F3" s="132"/>
      <c r="G3" s="133"/>
      <c r="H3" s="134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e">
        <f>AND($M$1="Flat Rate",M3="Staff_Costs")</f>
        <v>#N/A</v>
      </c>
    </row>
    <row r="4" spans="1:14" ht="45" customHeight="1">
      <c r="A4" s="143"/>
      <c r="B4" s="141"/>
      <c r="C4" s="144"/>
      <c r="D4" s="131"/>
      <c r="E4" s="127"/>
      <c r="F4" s="132"/>
      <c r="G4" s="133"/>
      <c r="H4" s="137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e">
        <f t="shared" ref="N4:N67" si="3">AND($M$1="Flat Rate",M4="Staff_Costs")</f>
        <v>#N/A</v>
      </c>
    </row>
    <row r="5" spans="1:14" ht="45" customHeight="1">
      <c r="A5" s="143"/>
      <c r="B5" s="141"/>
      <c r="C5" s="144"/>
      <c r="D5" s="131"/>
      <c r="E5" s="127"/>
      <c r="F5" s="132"/>
      <c r="G5" s="133"/>
      <c r="H5" s="137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e">
        <f t="shared" si="3"/>
        <v>#N/A</v>
      </c>
    </row>
    <row r="6" spans="1:14" ht="45" customHeight="1">
      <c r="A6" s="143"/>
      <c r="B6" s="141"/>
      <c r="C6" s="144"/>
      <c r="D6" s="131"/>
      <c r="E6" s="127"/>
      <c r="F6" s="132"/>
      <c r="G6" s="133"/>
      <c r="H6" s="137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e">
        <f t="shared" si="3"/>
        <v>#N/A</v>
      </c>
    </row>
    <row r="7" spans="1:14" ht="45" customHeight="1">
      <c r="A7" s="143"/>
      <c r="B7" s="141"/>
      <c r="C7" s="144"/>
      <c r="D7" s="131"/>
      <c r="E7" s="127"/>
      <c r="F7" s="132"/>
      <c r="G7" s="133"/>
      <c r="H7" s="137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e">
        <f t="shared" si="3"/>
        <v>#N/A</v>
      </c>
    </row>
    <row r="8" spans="1:14" ht="45" customHeight="1">
      <c r="A8" s="143"/>
      <c r="B8" s="141"/>
      <c r="C8" s="144"/>
      <c r="D8" s="131"/>
      <c r="E8" s="127"/>
      <c r="F8" s="132"/>
      <c r="G8" s="133"/>
      <c r="H8" s="137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e">
        <f t="shared" si="3"/>
        <v>#N/A</v>
      </c>
    </row>
    <row r="9" spans="1:14" ht="45" customHeight="1">
      <c r="A9" s="143"/>
      <c r="B9" s="141"/>
      <c r="C9" s="144"/>
      <c r="D9" s="131"/>
      <c r="E9" s="127"/>
      <c r="F9" s="132"/>
      <c r="G9" s="133"/>
      <c r="H9" s="137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e">
        <f t="shared" si="3"/>
        <v>#N/A</v>
      </c>
    </row>
    <row r="10" spans="1:14" ht="45" customHeight="1">
      <c r="A10" s="143"/>
      <c r="B10" s="141"/>
      <c r="C10" s="144"/>
      <c r="D10" s="131"/>
      <c r="E10" s="127"/>
      <c r="F10" s="132"/>
      <c r="G10" s="133"/>
      <c r="H10" s="137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e">
        <f t="shared" si="3"/>
        <v>#N/A</v>
      </c>
    </row>
    <row r="11" spans="1:14" ht="45" customHeight="1">
      <c r="A11" s="143"/>
      <c r="B11" s="141"/>
      <c r="C11" s="144"/>
      <c r="D11" s="131"/>
      <c r="E11" s="127"/>
      <c r="F11" s="132"/>
      <c r="G11" s="133"/>
      <c r="H11" s="137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e">
        <f t="shared" si="3"/>
        <v>#N/A</v>
      </c>
    </row>
    <row r="12" spans="1:14" ht="45" customHeight="1">
      <c r="A12" s="143"/>
      <c r="B12" s="141"/>
      <c r="C12" s="144"/>
      <c r="D12" s="131"/>
      <c r="E12" s="127"/>
      <c r="F12" s="132"/>
      <c r="G12" s="133"/>
      <c r="H12" s="137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e">
        <f t="shared" si="3"/>
        <v>#N/A</v>
      </c>
    </row>
    <row r="13" spans="1:14" ht="45" customHeight="1">
      <c r="A13" s="143"/>
      <c r="B13" s="141"/>
      <c r="C13" s="144"/>
      <c r="D13" s="131"/>
      <c r="E13" s="127"/>
      <c r="F13" s="132"/>
      <c r="G13" s="133"/>
      <c r="H13" s="137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e">
        <f t="shared" si="3"/>
        <v>#N/A</v>
      </c>
    </row>
    <row r="14" spans="1:14" ht="45" customHeight="1">
      <c r="A14" s="143"/>
      <c r="B14" s="141"/>
      <c r="C14" s="144"/>
      <c r="D14" s="131"/>
      <c r="E14" s="127"/>
      <c r="F14" s="132"/>
      <c r="G14" s="133"/>
      <c r="H14" s="137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e">
        <f t="shared" si="3"/>
        <v>#N/A</v>
      </c>
    </row>
    <row r="15" spans="1:14" ht="45" customHeight="1">
      <c r="A15" s="143"/>
      <c r="B15" s="141"/>
      <c r="C15" s="144"/>
      <c r="D15" s="131"/>
      <c r="E15" s="127"/>
      <c r="F15" s="132"/>
      <c r="G15" s="133"/>
      <c r="H15" s="137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e">
        <f t="shared" si="3"/>
        <v>#N/A</v>
      </c>
    </row>
    <row r="16" spans="1:14" ht="45" customHeight="1">
      <c r="A16" s="143"/>
      <c r="B16" s="141"/>
      <c r="C16" s="144"/>
      <c r="D16" s="131"/>
      <c r="E16" s="127"/>
      <c r="F16" s="132"/>
      <c r="G16" s="133"/>
      <c r="H16" s="137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e">
        <f t="shared" si="3"/>
        <v>#N/A</v>
      </c>
    </row>
    <row r="17" spans="1:14" ht="45" customHeight="1">
      <c r="A17" s="143"/>
      <c r="B17" s="141"/>
      <c r="C17" s="144"/>
      <c r="D17" s="131"/>
      <c r="E17" s="127"/>
      <c r="F17" s="132"/>
      <c r="G17" s="133"/>
      <c r="H17" s="137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e">
        <f t="shared" si="3"/>
        <v>#N/A</v>
      </c>
    </row>
    <row r="18" spans="1:14" ht="45" customHeight="1">
      <c r="A18" s="145"/>
      <c r="B18" s="141"/>
      <c r="C18" s="146"/>
      <c r="D18" s="131"/>
      <c r="E18" s="127"/>
      <c r="F18" s="132"/>
      <c r="G18" s="133"/>
      <c r="H18" s="140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e">
        <f t="shared" si="3"/>
        <v>#N/A</v>
      </c>
    </row>
    <row r="19" spans="1:14" ht="45" customHeight="1">
      <c r="A19" s="143"/>
      <c r="B19" s="141"/>
      <c r="C19" s="144"/>
      <c r="D19" s="131"/>
      <c r="E19" s="127"/>
      <c r="F19" s="132"/>
      <c r="G19" s="133"/>
      <c r="H19" s="137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e">
        <f t="shared" si="3"/>
        <v>#N/A</v>
      </c>
    </row>
    <row r="20" spans="1:14" ht="45" customHeight="1">
      <c r="A20" s="143"/>
      <c r="B20" s="141"/>
      <c r="C20" s="144"/>
      <c r="D20" s="131"/>
      <c r="E20" s="127"/>
      <c r="F20" s="132"/>
      <c r="G20" s="133"/>
      <c r="H20" s="137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e">
        <f t="shared" si="3"/>
        <v>#N/A</v>
      </c>
    </row>
    <row r="21" spans="1:14" ht="45" customHeight="1">
      <c r="A21" s="143"/>
      <c r="B21" s="141"/>
      <c r="C21" s="144"/>
      <c r="D21" s="131"/>
      <c r="E21" s="127"/>
      <c r="F21" s="132"/>
      <c r="G21" s="133"/>
      <c r="H21" s="137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e">
        <f t="shared" si="3"/>
        <v>#N/A</v>
      </c>
    </row>
    <row r="22" spans="1:14" ht="45" customHeight="1">
      <c r="A22" s="143"/>
      <c r="B22" s="141"/>
      <c r="C22" s="144"/>
      <c r="D22" s="131"/>
      <c r="E22" s="127"/>
      <c r="F22" s="132"/>
      <c r="G22" s="133"/>
      <c r="H22" s="137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e">
        <f t="shared" si="3"/>
        <v>#N/A</v>
      </c>
    </row>
    <row r="23" spans="1:14" ht="45" customHeight="1">
      <c r="A23" s="143"/>
      <c r="B23" s="141"/>
      <c r="C23" s="144"/>
      <c r="D23" s="131"/>
      <c r="E23" s="127"/>
      <c r="F23" s="132"/>
      <c r="G23" s="133"/>
      <c r="H23" s="137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e">
        <f t="shared" si="3"/>
        <v>#N/A</v>
      </c>
    </row>
    <row r="24" spans="1:14" ht="45" customHeight="1">
      <c r="A24" s="143"/>
      <c r="B24" s="141"/>
      <c r="C24" s="144"/>
      <c r="D24" s="131"/>
      <c r="E24" s="127"/>
      <c r="F24" s="132"/>
      <c r="G24" s="133"/>
      <c r="H24" s="137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e">
        <f t="shared" si="3"/>
        <v>#N/A</v>
      </c>
    </row>
    <row r="25" spans="1:14" ht="45" customHeight="1">
      <c r="A25" s="143"/>
      <c r="B25" s="141"/>
      <c r="C25" s="144"/>
      <c r="D25" s="131"/>
      <c r="E25" s="127"/>
      <c r="F25" s="132"/>
      <c r="G25" s="133"/>
      <c r="H25" s="137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e">
        <f t="shared" si="3"/>
        <v>#N/A</v>
      </c>
    </row>
    <row r="26" spans="1:14" ht="45" customHeight="1">
      <c r="A26" s="143"/>
      <c r="B26" s="141"/>
      <c r="C26" s="144"/>
      <c r="D26" s="131"/>
      <c r="E26" s="127"/>
      <c r="F26" s="132"/>
      <c r="G26" s="133"/>
      <c r="H26" s="137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e">
        <f t="shared" si="3"/>
        <v>#N/A</v>
      </c>
    </row>
    <row r="27" spans="1:14" ht="45" customHeight="1">
      <c r="A27" s="143"/>
      <c r="B27" s="141"/>
      <c r="C27" s="144"/>
      <c r="D27" s="131"/>
      <c r="E27" s="127"/>
      <c r="F27" s="132"/>
      <c r="G27" s="133"/>
      <c r="H27" s="137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e">
        <f t="shared" si="3"/>
        <v>#N/A</v>
      </c>
    </row>
    <row r="28" spans="1:14" ht="45" customHeight="1">
      <c r="A28" s="143"/>
      <c r="B28" s="141"/>
      <c r="C28" s="144"/>
      <c r="D28" s="131"/>
      <c r="E28" s="127"/>
      <c r="F28" s="132"/>
      <c r="G28" s="133"/>
      <c r="H28" s="137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e">
        <f t="shared" si="3"/>
        <v>#N/A</v>
      </c>
    </row>
    <row r="29" spans="1:14" ht="45" customHeight="1">
      <c r="A29" s="143"/>
      <c r="B29" s="141"/>
      <c r="C29" s="144"/>
      <c r="D29" s="131"/>
      <c r="E29" s="127"/>
      <c r="F29" s="132"/>
      <c r="G29" s="133"/>
      <c r="H29" s="137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e">
        <f t="shared" si="3"/>
        <v>#N/A</v>
      </c>
    </row>
    <row r="30" spans="1:14" ht="45" customHeight="1">
      <c r="A30" s="143"/>
      <c r="B30" s="141"/>
      <c r="C30" s="144"/>
      <c r="D30" s="131"/>
      <c r="E30" s="127"/>
      <c r="F30" s="132"/>
      <c r="G30" s="133"/>
      <c r="H30" s="137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e">
        <f t="shared" si="3"/>
        <v>#N/A</v>
      </c>
    </row>
    <row r="31" spans="1:14" ht="45" customHeight="1">
      <c r="A31" s="143"/>
      <c r="B31" s="141"/>
      <c r="C31" s="144"/>
      <c r="D31" s="131"/>
      <c r="E31" s="127"/>
      <c r="F31" s="132"/>
      <c r="G31" s="133"/>
      <c r="H31" s="137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e">
        <f t="shared" si="3"/>
        <v>#N/A</v>
      </c>
    </row>
    <row r="32" spans="1:14" ht="45" customHeight="1">
      <c r="A32" s="143"/>
      <c r="B32" s="141"/>
      <c r="C32" s="144"/>
      <c r="D32" s="131"/>
      <c r="E32" s="127"/>
      <c r="F32" s="132"/>
      <c r="G32" s="133"/>
      <c r="H32" s="137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e">
        <f t="shared" si="3"/>
        <v>#N/A</v>
      </c>
    </row>
    <row r="33" spans="1:14" ht="45" customHeight="1">
      <c r="A33" s="143"/>
      <c r="B33" s="141"/>
      <c r="C33" s="144"/>
      <c r="D33" s="131"/>
      <c r="E33" s="127"/>
      <c r="F33" s="132"/>
      <c r="G33" s="133"/>
      <c r="H33" s="137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e">
        <f t="shared" si="3"/>
        <v>#N/A</v>
      </c>
    </row>
    <row r="34" spans="1:14" ht="45" customHeight="1">
      <c r="A34" s="143"/>
      <c r="B34" s="141"/>
      <c r="C34" s="144"/>
      <c r="D34" s="131"/>
      <c r="E34" s="128"/>
      <c r="F34" s="132"/>
      <c r="G34" s="133"/>
      <c r="H34" s="137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e">
        <f t="shared" si="3"/>
        <v>#N/A</v>
      </c>
    </row>
    <row r="35" spans="1:14" ht="45" customHeight="1">
      <c r="A35" s="143"/>
      <c r="B35" s="141"/>
      <c r="C35" s="144"/>
      <c r="D35" s="131"/>
      <c r="E35" s="128"/>
      <c r="F35" s="132"/>
      <c r="G35" s="133"/>
      <c r="H35" s="137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e">
        <f t="shared" si="3"/>
        <v>#N/A</v>
      </c>
    </row>
    <row r="36" spans="1:14" ht="45" customHeight="1">
      <c r="A36" s="143"/>
      <c r="B36" s="141"/>
      <c r="C36" s="144"/>
      <c r="D36" s="131"/>
      <c r="E36" s="128"/>
      <c r="F36" s="132"/>
      <c r="G36" s="133"/>
      <c r="H36" s="137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e">
        <f t="shared" si="3"/>
        <v>#N/A</v>
      </c>
    </row>
    <row r="37" spans="1:14" ht="45" customHeight="1">
      <c r="A37" s="143"/>
      <c r="B37" s="141"/>
      <c r="C37" s="144"/>
      <c r="D37" s="131"/>
      <c r="E37" s="128"/>
      <c r="F37" s="132"/>
      <c r="G37" s="133"/>
      <c r="H37" s="137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e">
        <f t="shared" si="3"/>
        <v>#N/A</v>
      </c>
    </row>
    <row r="38" spans="1:14" ht="45" customHeight="1">
      <c r="A38" s="143"/>
      <c r="B38" s="141"/>
      <c r="C38" s="144"/>
      <c r="D38" s="131"/>
      <c r="E38" s="128"/>
      <c r="F38" s="132"/>
      <c r="G38" s="133"/>
      <c r="H38" s="137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e">
        <f t="shared" si="3"/>
        <v>#N/A</v>
      </c>
    </row>
    <row r="39" spans="1:14" ht="45" customHeight="1">
      <c r="A39" s="143"/>
      <c r="B39" s="141"/>
      <c r="C39" s="144"/>
      <c r="D39" s="131"/>
      <c r="E39" s="128"/>
      <c r="F39" s="132"/>
      <c r="G39" s="133"/>
      <c r="H39" s="137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e">
        <f t="shared" si="3"/>
        <v>#N/A</v>
      </c>
    </row>
    <row r="40" spans="1:14" ht="45" customHeight="1">
      <c r="A40" s="143"/>
      <c r="B40" s="141"/>
      <c r="C40" s="144"/>
      <c r="D40" s="131"/>
      <c r="E40" s="128"/>
      <c r="F40" s="132"/>
      <c r="G40" s="133"/>
      <c r="H40" s="137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e">
        <f t="shared" si="3"/>
        <v>#N/A</v>
      </c>
    </row>
    <row r="41" spans="1:14" ht="45" customHeight="1">
      <c r="A41" s="143"/>
      <c r="B41" s="141"/>
      <c r="C41" s="144"/>
      <c r="D41" s="131"/>
      <c r="E41" s="128"/>
      <c r="F41" s="132"/>
      <c r="G41" s="133"/>
      <c r="H41" s="137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e">
        <f t="shared" si="3"/>
        <v>#N/A</v>
      </c>
    </row>
    <row r="42" spans="1:14" ht="45" customHeight="1">
      <c r="A42" s="143"/>
      <c r="B42" s="141"/>
      <c r="C42" s="144"/>
      <c r="D42" s="131"/>
      <c r="E42" s="128"/>
      <c r="F42" s="132"/>
      <c r="G42" s="133"/>
      <c r="H42" s="137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e">
        <f t="shared" si="3"/>
        <v>#N/A</v>
      </c>
    </row>
    <row r="43" spans="1:14" ht="45" customHeight="1">
      <c r="A43" s="143"/>
      <c r="B43" s="141"/>
      <c r="C43" s="144"/>
      <c r="D43" s="131"/>
      <c r="E43" s="128"/>
      <c r="F43" s="132"/>
      <c r="G43" s="133"/>
      <c r="H43" s="137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e">
        <f t="shared" si="3"/>
        <v>#N/A</v>
      </c>
    </row>
    <row r="44" spans="1:14" ht="45" customHeight="1">
      <c r="A44" s="143"/>
      <c r="B44" s="141"/>
      <c r="C44" s="144"/>
      <c r="D44" s="131"/>
      <c r="E44" s="128"/>
      <c r="F44" s="132"/>
      <c r="G44" s="133"/>
      <c r="H44" s="137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e">
        <f t="shared" si="3"/>
        <v>#N/A</v>
      </c>
    </row>
    <row r="45" spans="1:14" ht="45" customHeight="1">
      <c r="A45" s="143"/>
      <c r="B45" s="141"/>
      <c r="C45" s="144"/>
      <c r="D45" s="131"/>
      <c r="E45" s="128"/>
      <c r="F45" s="132"/>
      <c r="G45" s="133"/>
      <c r="H45" s="137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e">
        <f t="shared" si="3"/>
        <v>#N/A</v>
      </c>
    </row>
    <row r="46" spans="1:14" ht="45" customHeight="1">
      <c r="A46" s="143"/>
      <c r="B46" s="141"/>
      <c r="C46" s="144"/>
      <c r="D46" s="131"/>
      <c r="E46" s="128"/>
      <c r="F46" s="132"/>
      <c r="G46" s="133"/>
      <c r="H46" s="137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e">
        <f t="shared" si="3"/>
        <v>#N/A</v>
      </c>
    </row>
    <row r="47" spans="1:14" ht="45" customHeight="1">
      <c r="A47" s="143"/>
      <c r="B47" s="141"/>
      <c r="C47" s="144"/>
      <c r="D47" s="131"/>
      <c r="E47" s="128"/>
      <c r="F47" s="132"/>
      <c r="G47" s="133"/>
      <c r="H47" s="137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e">
        <f t="shared" si="3"/>
        <v>#N/A</v>
      </c>
    </row>
    <row r="48" spans="1:14" ht="45" customHeight="1">
      <c r="A48" s="143"/>
      <c r="B48" s="141"/>
      <c r="C48" s="144"/>
      <c r="D48" s="131"/>
      <c r="E48" s="128"/>
      <c r="F48" s="132"/>
      <c r="G48" s="133"/>
      <c r="H48" s="137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e">
        <f t="shared" si="3"/>
        <v>#N/A</v>
      </c>
    </row>
    <row r="49" spans="1:14" ht="45" customHeight="1">
      <c r="A49" s="143"/>
      <c r="B49" s="141"/>
      <c r="C49" s="144"/>
      <c r="D49" s="131"/>
      <c r="E49" s="128"/>
      <c r="F49" s="132"/>
      <c r="G49" s="133"/>
      <c r="H49" s="137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e">
        <f t="shared" si="3"/>
        <v>#N/A</v>
      </c>
    </row>
    <row r="50" spans="1:14" ht="45" customHeight="1">
      <c r="A50" s="143"/>
      <c r="B50" s="141"/>
      <c r="C50" s="144"/>
      <c r="D50" s="131"/>
      <c r="E50" s="128"/>
      <c r="F50" s="132"/>
      <c r="G50" s="133"/>
      <c r="H50" s="137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e">
        <f t="shared" si="3"/>
        <v>#N/A</v>
      </c>
    </row>
    <row r="51" spans="1:14" ht="45" customHeight="1">
      <c r="A51" s="143"/>
      <c r="B51" s="141"/>
      <c r="C51" s="144"/>
      <c r="D51" s="131"/>
      <c r="E51" s="128"/>
      <c r="F51" s="132"/>
      <c r="G51" s="133"/>
      <c r="H51" s="137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e">
        <f t="shared" si="3"/>
        <v>#N/A</v>
      </c>
    </row>
    <row r="52" spans="1:14" ht="45" customHeight="1">
      <c r="A52" s="143"/>
      <c r="B52" s="141"/>
      <c r="C52" s="144"/>
      <c r="D52" s="131"/>
      <c r="E52" s="128"/>
      <c r="F52" s="132"/>
      <c r="G52" s="133"/>
      <c r="H52" s="137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e">
        <f t="shared" si="3"/>
        <v>#N/A</v>
      </c>
    </row>
    <row r="53" spans="1:14" ht="45" customHeight="1">
      <c r="A53" s="143"/>
      <c r="B53" s="141"/>
      <c r="C53" s="144"/>
      <c r="D53" s="131"/>
      <c r="E53" s="128"/>
      <c r="F53" s="132"/>
      <c r="G53" s="133"/>
      <c r="H53" s="137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e">
        <f t="shared" si="3"/>
        <v>#N/A</v>
      </c>
    </row>
    <row r="54" spans="1:14" ht="45" customHeight="1">
      <c r="A54" s="143"/>
      <c r="B54" s="141"/>
      <c r="C54" s="144"/>
      <c r="D54" s="131"/>
      <c r="E54" s="128"/>
      <c r="F54" s="132"/>
      <c r="G54" s="133"/>
      <c r="H54" s="137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e">
        <f t="shared" si="3"/>
        <v>#N/A</v>
      </c>
    </row>
    <row r="55" spans="1:14" ht="45" customHeight="1">
      <c r="A55" s="143"/>
      <c r="B55" s="141"/>
      <c r="C55" s="144"/>
      <c r="D55" s="131"/>
      <c r="E55" s="128"/>
      <c r="F55" s="132"/>
      <c r="G55" s="133"/>
      <c r="H55" s="137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e">
        <f t="shared" si="3"/>
        <v>#N/A</v>
      </c>
    </row>
    <row r="56" spans="1:14" ht="45" customHeight="1">
      <c r="A56" s="143"/>
      <c r="B56" s="141"/>
      <c r="C56" s="144"/>
      <c r="D56" s="131"/>
      <c r="E56" s="128"/>
      <c r="F56" s="132"/>
      <c r="G56" s="133"/>
      <c r="H56" s="137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e">
        <f t="shared" si="3"/>
        <v>#N/A</v>
      </c>
    </row>
    <row r="57" spans="1:14" ht="45" customHeight="1">
      <c r="A57" s="143"/>
      <c r="B57" s="141"/>
      <c r="C57" s="144"/>
      <c r="D57" s="131"/>
      <c r="E57" s="128"/>
      <c r="F57" s="132"/>
      <c r="G57" s="133"/>
      <c r="H57" s="137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e">
        <f t="shared" si="3"/>
        <v>#N/A</v>
      </c>
    </row>
    <row r="58" spans="1:14" ht="45" customHeight="1">
      <c r="A58" s="143"/>
      <c r="B58" s="141"/>
      <c r="C58" s="144"/>
      <c r="D58" s="131"/>
      <c r="E58" s="128"/>
      <c r="F58" s="132"/>
      <c r="G58" s="133"/>
      <c r="H58" s="137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e">
        <f t="shared" si="3"/>
        <v>#N/A</v>
      </c>
    </row>
    <row r="59" spans="1:14" ht="45" customHeight="1">
      <c r="A59" s="143"/>
      <c r="B59" s="141"/>
      <c r="C59" s="144"/>
      <c r="D59" s="131"/>
      <c r="E59" s="128"/>
      <c r="F59" s="132"/>
      <c r="G59" s="133"/>
      <c r="H59" s="137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e">
        <f t="shared" si="3"/>
        <v>#N/A</v>
      </c>
    </row>
    <row r="60" spans="1:14" ht="45" customHeight="1">
      <c r="A60" s="143"/>
      <c r="B60" s="141"/>
      <c r="C60" s="144"/>
      <c r="D60" s="131"/>
      <c r="E60" s="128"/>
      <c r="F60" s="132"/>
      <c r="G60" s="133"/>
      <c r="H60" s="137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e">
        <f t="shared" si="3"/>
        <v>#N/A</v>
      </c>
    </row>
    <row r="61" spans="1:14" ht="45" customHeight="1">
      <c r="A61" s="143"/>
      <c r="B61" s="141"/>
      <c r="C61" s="144"/>
      <c r="D61" s="131"/>
      <c r="E61" s="128"/>
      <c r="F61" s="132"/>
      <c r="G61" s="133"/>
      <c r="H61" s="137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e">
        <f t="shared" si="3"/>
        <v>#N/A</v>
      </c>
    </row>
    <row r="62" spans="1:14" ht="45" customHeight="1">
      <c r="A62" s="143"/>
      <c r="B62" s="141"/>
      <c r="C62" s="144"/>
      <c r="D62" s="131"/>
      <c r="E62" s="128"/>
      <c r="F62" s="132"/>
      <c r="G62" s="133"/>
      <c r="H62" s="137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e">
        <f t="shared" si="3"/>
        <v>#N/A</v>
      </c>
    </row>
    <row r="63" spans="1:14" ht="45" customHeight="1">
      <c r="A63" s="143"/>
      <c r="B63" s="141"/>
      <c r="C63" s="144"/>
      <c r="D63" s="131"/>
      <c r="E63" s="128"/>
      <c r="F63" s="132"/>
      <c r="G63" s="133"/>
      <c r="H63" s="137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e">
        <f t="shared" si="3"/>
        <v>#N/A</v>
      </c>
    </row>
    <row r="64" spans="1:14" ht="45" customHeight="1">
      <c r="A64" s="143"/>
      <c r="B64" s="141"/>
      <c r="C64" s="144"/>
      <c r="D64" s="131"/>
      <c r="E64" s="128"/>
      <c r="F64" s="132"/>
      <c r="G64" s="133"/>
      <c r="H64" s="137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e">
        <f t="shared" si="3"/>
        <v>#N/A</v>
      </c>
    </row>
    <row r="65" spans="1:14" ht="45" customHeight="1">
      <c r="A65" s="143"/>
      <c r="B65" s="141"/>
      <c r="C65" s="144"/>
      <c r="D65" s="131"/>
      <c r="E65" s="128"/>
      <c r="F65" s="132"/>
      <c r="G65" s="133"/>
      <c r="H65" s="137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e">
        <f t="shared" si="3"/>
        <v>#N/A</v>
      </c>
    </row>
    <row r="66" spans="1:14" ht="45" customHeight="1">
      <c r="A66" s="143"/>
      <c r="B66" s="141"/>
      <c r="C66" s="144"/>
      <c r="D66" s="131"/>
      <c r="E66" s="128"/>
      <c r="F66" s="132"/>
      <c r="G66" s="133"/>
      <c r="H66" s="137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e">
        <f t="shared" si="3"/>
        <v>#N/A</v>
      </c>
    </row>
    <row r="67" spans="1:14" ht="45" customHeight="1">
      <c r="A67" s="143"/>
      <c r="B67" s="141"/>
      <c r="C67" s="144"/>
      <c r="D67" s="131"/>
      <c r="E67" s="128"/>
      <c r="F67" s="132"/>
      <c r="G67" s="133"/>
      <c r="H67" s="137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e">
        <f t="shared" si="3"/>
        <v>#N/A</v>
      </c>
    </row>
    <row r="68" spans="1:14" ht="45" customHeight="1">
      <c r="A68" s="143"/>
      <c r="B68" s="141"/>
      <c r="C68" s="144"/>
      <c r="D68" s="131"/>
      <c r="E68" s="128"/>
      <c r="F68" s="132"/>
      <c r="G68" s="133"/>
      <c r="H68" s="137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e">
        <f t="shared" ref="N68:N131" si="8">AND($M$1="Flat Rate",M68="Staff_Costs")</f>
        <v>#N/A</v>
      </c>
    </row>
    <row r="69" spans="1:14" ht="45" customHeight="1">
      <c r="A69" s="143"/>
      <c r="B69" s="141"/>
      <c r="C69" s="144"/>
      <c r="D69" s="131"/>
      <c r="E69" s="128"/>
      <c r="F69" s="132"/>
      <c r="G69" s="133"/>
      <c r="H69" s="137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e">
        <f t="shared" si="8"/>
        <v>#N/A</v>
      </c>
    </row>
    <row r="70" spans="1:14" ht="45" customHeight="1">
      <c r="A70" s="143"/>
      <c r="B70" s="141"/>
      <c r="C70" s="144"/>
      <c r="D70" s="131"/>
      <c r="E70" s="128"/>
      <c r="F70" s="132"/>
      <c r="G70" s="133"/>
      <c r="H70" s="137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e">
        <f t="shared" si="8"/>
        <v>#N/A</v>
      </c>
    </row>
    <row r="71" spans="1:14" ht="45" customHeight="1">
      <c r="A71" s="143"/>
      <c r="B71" s="141"/>
      <c r="C71" s="144"/>
      <c r="D71" s="131"/>
      <c r="E71" s="128"/>
      <c r="F71" s="132"/>
      <c r="G71" s="133"/>
      <c r="H71" s="137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e">
        <f t="shared" si="8"/>
        <v>#N/A</v>
      </c>
    </row>
    <row r="72" spans="1:14" ht="45" customHeight="1">
      <c r="A72" s="143"/>
      <c r="B72" s="141"/>
      <c r="C72" s="144"/>
      <c r="D72" s="131"/>
      <c r="E72" s="128"/>
      <c r="F72" s="132"/>
      <c r="G72" s="133"/>
      <c r="H72" s="137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e">
        <f t="shared" si="8"/>
        <v>#N/A</v>
      </c>
    </row>
    <row r="73" spans="1:14" ht="45" customHeight="1">
      <c r="A73" s="143"/>
      <c r="B73" s="141"/>
      <c r="C73" s="144"/>
      <c r="D73" s="131"/>
      <c r="E73" s="128"/>
      <c r="F73" s="132"/>
      <c r="G73" s="133"/>
      <c r="H73" s="137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e">
        <f t="shared" si="8"/>
        <v>#N/A</v>
      </c>
    </row>
    <row r="74" spans="1:14" ht="45" customHeight="1">
      <c r="A74" s="143"/>
      <c r="B74" s="141"/>
      <c r="C74" s="144"/>
      <c r="D74" s="131"/>
      <c r="E74" s="128"/>
      <c r="F74" s="132"/>
      <c r="G74" s="133"/>
      <c r="H74" s="137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e">
        <f t="shared" si="8"/>
        <v>#N/A</v>
      </c>
    </row>
    <row r="75" spans="1:14" ht="45" customHeight="1">
      <c r="A75" s="143"/>
      <c r="B75" s="141"/>
      <c r="C75" s="144"/>
      <c r="D75" s="131"/>
      <c r="E75" s="128"/>
      <c r="F75" s="132"/>
      <c r="G75" s="133"/>
      <c r="H75" s="137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e">
        <f t="shared" si="8"/>
        <v>#N/A</v>
      </c>
    </row>
    <row r="76" spans="1:14" ht="45" customHeight="1">
      <c r="A76" s="143"/>
      <c r="B76" s="141"/>
      <c r="C76" s="144"/>
      <c r="D76" s="131"/>
      <c r="E76" s="128"/>
      <c r="F76" s="132"/>
      <c r="G76" s="133"/>
      <c r="H76" s="137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e">
        <f t="shared" si="8"/>
        <v>#N/A</v>
      </c>
    </row>
    <row r="77" spans="1:14" ht="45" customHeight="1">
      <c r="A77" s="143"/>
      <c r="B77" s="141"/>
      <c r="C77" s="144"/>
      <c r="D77" s="131"/>
      <c r="E77" s="128"/>
      <c r="F77" s="132"/>
      <c r="G77" s="133"/>
      <c r="H77" s="137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e">
        <f t="shared" si="8"/>
        <v>#N/A</v>
      </c>
    </row>
    <row r="78" spans="1:14" ht="45" customHeight="1">
      <c r="A78" s="143"/>
      <c r="B78" s="141"/>
      <c r="C78" s="144"/>
      <c r="D78" s="131"/>
      <c r="E78" s="128"/>
      <c r="F78" s="132"/>
      <c r="G78" s="133"/>
      <c r="H78" s="137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e">
        <f t="shared" si="8"/>
        <v>#N/A</v>
      </c>
    </row>
    <row r="79" spans="1:14" ht="45" customHeight="1">
      <c r="A79" s="143"/>
      <c r="B79" s="141"/>
      <c r="C79" s="144"/>
      <c r="D79" s="131"/>
      <c r="E79" s="128"/>
      <c r="F79" s="132"/>
      <c r="G79" s="133"/>
      <c r="H79" s="137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e">
        <f t="shared" si="8"/>
        <v>#N/A</v>
      </c>
    </row>
    <row r="80" spans="1:14" ht="45" customHeight="1">
      <c r="A80" s="143"/>
      <c r="B80" s="141"/>
      <c r="C80" s="144"/>
      <c r="D80" s="131"/>
      <c r="E80" s="128"/>
      <c r="F80" s="132"/>
      <c r="G80" s="133"/>
      <c r="H80" s="137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e">
        <f t="shared" si="8"/>
        <v>#N/A</v>
      </c>
    </row>
    <row r="81" spans="1:14" ht="45" customHeight="1">
      <c r="A81" s="143"/>
      <c r="B81" s="141"/>
      <c r="C81" s="144"/>
      <c r="D81" s="131"/>
      <c r="E81" s="128"/>
      <c r="F81" s="132"/>
      <c r="G81" s="133"/>
      <c r="H81" s="137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e">
        <f t="shared" si="8"/>
        <v>#N/A</v>
      </c>
    </row>
    <row r="82" spans="1:14" ht="45" customHeight="1">
      <c r="A82" s="143"/>
      <c r="B82" s="141"/>
      <c r="C82" s="144"/>
      <c r="D82" s="131"/>
      <c r="E82" s="128"/>
      <c r="F82" s="132"/>
      <c r="G82" s="133"/>
      <c r="H82" s="137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e">
        <f t="shared" si="8"/>
        <v>#N/A</v>
      </c>
    </row>
    <row r="83" spans="1:14" ht="45" customHeight="1">
      <c r="A83" s="143"/>
      <c r="B83" s="141"/>
      <c r="C83" s="144"/>
      <c r="D83" s="131"/>
      <c r="E83" s="128"/>
      <c r="F83" s="132"/>
      <c r="G83" s="133"/>
      <c r="H83" s="137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e">
        <f t="shared" si="8"/>
        <v>#N/A</v>
      </c>
    </row>
    <row r="84" spans="1:14" ht="45" customHeight="1">
      <c r="A84" s="143"/>
      <c r="B84" s="141"/>
      <c r="C84" s="144"/>
      <c r="D84" s="131"/>
      <c r="E84" s="128"/>
      <c r="F84" s="132"/>
      <c r="G84" s="133"/>
      <c r="H84" s="137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e">
        <f t="shared" si="8"/>
        <v>#N/A</v>
      </c>
    </row>
    <row r="85" spans="1:14" ht="45" customHeight="1">
      <c r="A85" s="143"/>
      <c r="B85" s="141"/>
      <c r="C85" s="144"/>
      <c r="D85" s="131"/>
      <c r="E85" s="128"/>
      <c r="F85" s="132"/>
      <c r="G85" s="133"/>
      <c r="H85" s="137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e">
        <f t="shared" si="8"/>
        <v>#N/A</v>
      </c>
    </row>
    <row r="86" spans="1:14" ht="45" customHeight="1">
      <c r="A86" s="143"/>
      <c r="B86" s="141"/>
      <c r="C86" s="144"/>
      <c r="D86" s="131"/>
      <c r="E86" s="128"/>
      <c r="F86" s="132"/>
      <c r="G86" s="133"/>
      <c r="H86" s="137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e">
        <f t="shared" si="8"/>
        <v>#N/A</v>
      </c>
    </row>
    <row r="87" spans="1:14" ht="45" customHeight="1">
      <c r="A87" s="143"/>
      <c r="B87" s="141"/>
      <c r="C87" s="144"/>
      <c r="D87" s="131"/>
      <c r="E87" s="128"/>
      <c r="F87" s="132"/>
      <c r="G87" s="133"/>
      <c r="H87" s="137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e">
        <f t="shared" si="8"/>
        <v>#N/A</v>
      </c>
    </row>
    <row r="88" spans="1:14" ht="45" customHeight="1">
      <c r="A88" s="143"/>
      <c r="B88" s="141"/>
      <c r="C88" s="144"/>
      <c r="D88" s="131"/>
      <c r="E88" s="128"/>
      <c r="F88" s="132"/>
      <c r="G88" s="133"/>
      <c r="H88" s="137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e">
        <f t="shared" si="8"/>
        <v>#N/A</v>
      </c>
    </row>
    <row r="89" spans="1:14" ht="45" customHeight="1">
      <c r="A89" s="143"/>
      <c r="B89" s="141"/>
      <c r="C89" s="144"/>
      <c r="D89" s="131"/>
      <c r="E89" s="128"/>
      <c r="F89" s="132"/>
      <c r="G89" s="133"/>
      <c r="H89" s="137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e">
        <f t="shared" si="8"/>
        <v>#N/A</v>
      </c>
    </row>
    <row r="90" spans="1:14" ht="45" customHeight="1">
      <c r="A90" s="143"/>
      <c r="B90" s="141"/>
      <c r="C90" s="144"/>
      <c r="D90" s="131"/>
      <c r="E90" s="128"/>
      <c r="F90" s="132"/>
      <c r="G90" s="133"/>
      <c r="H90" s="137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e">
        <f t="shared" si="8"/>
        <v>#N/A</v>
      </c>
    </row>
    <row r="91" spans="1:14" ht="45" customHeight="1">
      <c r="A91" s="143"/>
      <c r="B91" s="141"/>
      <c r="C91" s="144"/>
      <c r="D91" s="131"/>
      <c r="E91" s="128"/>
      <c r="F91" s="132"/>
      <c r="G91" s="133"/>
      <c r="H91" s="137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e">
        <f t="shared" si="8"/>
        <v>#N/A</v>
      </c>
    </row>
    <row r="92" spans="1:14" ht="45" customHeight="1">
      <c r="A92" s="143"/>
      <c r="B92" s="141"/>
      <c r="C92" s="144"/>
      <c r="D92" s="131"/>
      <c r="E92" s="128"/>
      <c r="F92" s="132"/>
      <c r="G92" s="133"/>
      <c r="H92" s="137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e">
        <f t="shared" si="8"/>
        <v>#N/A</v>
      </c>
    </row>
    <row r="93" spans="1:14" ht="45" customHeight="1">
      <c r="A93" s="143"/>
      <c r="B93" s="141"/>
      <c r="C93" s="144"/>
      <c r="D93" s="131"/>
      <c r="E93" s="128"/>
      <c r="F93" s="132"/>
      <c r="G93" s="133"/>
      <c r="H93" s="137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e">
        <f t="shared" si="8"/>
        <v>#N/A</v>
      </c>
    </row>
    <row r="94" spans="1:14" ht="45" customHeight="1">
      <c r="A94" s="143"/>
      <c r="B94" s="141"/>
      <c r="C94" s="144"/>
      <c r="D94" s="131"/>
      <c r="E94" s="128"/>
      <c r="F94" s="132"/>
      <c r="G94" s="133"/>
      <c r="H94" s="137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e">
        <f t="shared" si="8"/>
        <v>#N/A</v>
      </c>
    </row>
    <row r="95" spans="1:14" ht="45" customHeight="1">
      <c r="A95" s="143"/>
      <c r="B95" s="141"/>
      <c r="C95" s="144"/>
      <c r="D95" s="131"/>
      <c r="E95" s="128"/>
      <c r="F95" s="132"/>
      <c r="G95" s="133"/>
      <c r="H95" s="137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e">
        <f t="shared" si="8"/>
        <v>#N/A</v>
      </c>
    </row>
    <row r="96" spans="1:14" ht="45" customHeight="1">
      <c r="A96" s="143"/>
      <c r="B96" s="141"/>
      <c r="C96" s="144"/>
      <c r="D96" s="131"/>
      <c r="E96" s="128"/>
      <c r="F96" s="132"/>
      <c r="G96" s="133"/>
      <c r="H96" s="137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e">
        <f t="shared" si="8"/>
        <v>#N/A</v>
      </c>
    </row>
    <row r="97" spans="1:14" ht="45" customHeight="1">
      <c r="A97" s="143"/>
      <c r="B97" s="141"/>
      <c r="C97" s="144"/>
      <c r="D97" s="131"/>
      <c r="E97" s="128"/>
      <c r="F97" s="132"/>
      <c r="G97" s="133"/>
      <c r="H97" s="137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e">
        <f t="shared" si="8"/>
        <v>#N/A</v>
      </c>
    </row>
    <row r="98" spans="1:14" ht="45" customHeight="1">
      <c r="A98" s="143"/>
      <c r="B98" s="141"/>
      <c r="C98" s="144"/>
      <c r="D98" s="131"/>
      <c r="E98" s="128"/>
      <c r="F98" s="132"/>
      <c r="G98" s="133"/>
      <c r="H98" s="137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e">
        <f t="shared" si="8"/>
        <v>#N/A</v>
      </c>
    </row>
    <row r="99" spans="1:14" ht="45" customHeight="1">
      <c r="A99" s="143"/>
      <c r="B99" s="141"/>
      <c r="C99" s="144"/>
      <c r="D99" s="131"/>
      <c r="E99" s="128"/>
      <c r="F99" s="132"/>
      <c r="G99" s="133"/>
      <c r="H99" s="137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e">
        <f t="shared" si="8"/>
        <v>#N/A</v>
      </c>
    </row>
    <row r="100" spans="1:14" ht="45" customHeight="1">
      <c r="A100" s="143"/>
      <c r="B100" s="141"/>
      <c r="C100" s="144"/>
      <c r="D100" s="131"/>
      <c r="E100" s="128"/>
      <c r="F100" s="132"/>
      <c r="G100" s="133"/>
      <c r="H100" s="137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e">
        <f t="shared" si="8"/>
        <v>#N/A</v>
      </c>
    </row>
    <row r="101" spans="1:14" ht="45" customHeight="1">
      <c r="A101" s="143"/>
      <c r="B101" s="141"/>
      <c r="C101" s="144"/>
      <c r="D101" s="131"/>
      <c r="E101" s="128"/>
      <c r="F101" s="132"/>
      <c r="G101" s="133"/>
      <c r="H101" s="137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e">
        <f t="shared" si="8"/>
        <v>#N/A</v>
      </c>
    </row>
    <row r="102" spans="1:14" ht="45" customHeight="1">
      <c r="A102" s="143"/>
      <c r="B102" s="141"/>
      <c r="C102" s="144"/>
      <c r="D102" s="131"/>
      <c r="E102" s="128"/>
      <c r="F102" s="132"/>
      <c r="G102" s="133"/>
      <c r="H102" s="137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e">
        <f t="shared" si="8"/>
        <v>#N/A</v>
      </c>
    </row>
    <row r="103" spans="1:14" ht="45" customHeight="1">
      <c r="A103" s="143"/>
      <c r="B103" s="141"/>
      <c r="C103" s="144"/>
      <c r="D103" s="131"/>
      <c r="E103" s="128"/>
      <c r="F103" s="132"/>
      <c r="G103" s="133"/>
      <c r="H103" s="137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e">
        <f t="shared" si="8"/>
        <v>#N/A</v>
      </c>
    </row>
    <row r="104" spans="1:14" ht="45" customHeight="1">
      <c r="A104" s="143"/>
      <c r="B104" s="141"/>
      <c r="C104" s="144"/>
      <c r="D104" s="131"/>
      <c r="E104" s="128"/>
      <c r="F104" s="132"/>
      <c r="G104" s="133"/>
      <c r="H104" s="137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e">
        <f t="shared" si="8"/>
        <v>#N/A</v>
      </c>
    </row>
    <row r="105" spans="1:14" ht="45" customHeight="1">
      <c r="A105" s="143"/>
      <c r="B105" s="141"/>
      <c r="C105" s="144"/>
      <c r="D105" s="131"/>
      <c r="E105" s="128"/>
      <c r="F105" s="132"/>
      <c r="G105" s="133"/>
      <c r="H105" s="137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e">
        <f t="shared" si="8"/>
        <v>#N/A</v>
      </c>
    </row>
    <row r="106" spans="1:14" ht="45" customHeight="1">
      <c r="A106" s="143"/>
      <c r="B106" s="141"/>
      <c r="C106" s="144"/>
      <c r="D106" s="131"/>
      <c r="E106" s="128"/>
      <c r="F106" s="132"/>
      <c r="G106" s="133"/>
      <c r="H106" s="137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e">
        <f t="shared" si="8"/>
        <v>#N/A</v>
      </c>
    </row>
    <row r="107" spans="1:14" ht="45" customHeight="1">
      <c r="A107" s="143"/>
      <c r="B107" s="141"/>
      <c r="C107" s="144"/>
      <c r="D107" s="131"/>
      <c r="E107" s="128"/>
      <c r="F107" s="132"/>
      <c r="G107" s="133"/>
      <c r="H107" s="137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e">
        <f t="shared" si="8"/>
        <v>#N/A</v>
      </c>
    </row>
    <row r="108" spans="1:14" ht="45" customHeight="1">
      <c r="A108" s="143"/>
      <c r="B108" s="141"/>
      <c r="C108" s="144"/>
      <c r="D108" s="131"/>
      <c r="E108" s="128"/>
      <c r="F108" s="132"/>
      <c r="G108" s="133"/>
      <c r="H108" s="137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e">
        <f t="shared" si="8"/>
        <v>#N/A</v>
      </c>
    </row>
    <row r="109" spans="1:14" ht="45" customHeight="1">
      <c r="A109" s="143"/>
      <c r="B109" s="141"/>
      <c r="C109" s="144"/>
      <c r="D109" s="131"/>
      <c r="E109" s="128"/>
      <c r="F109" s="132"/>
      <c r="G109" s="133"/>
      <c r="H109" s="137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e">
        <f t="shared" si="8"/>
        <v>#N/A</v>
      </c>
    </row>
    <row r="110" spans="1:14" ht="45" customHeight="1">
      <c r="A110" s="143"/>
      <c r="B110" s="141"/>
      <c r="C110" s="144"/>
      <c r="D110" s="131"/>
      <c r="E110" s="128"/>
      <c r="F110" s="132"/>
      <c r="G110" s="133"/>
      <c r="H110" s="137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e">
        <f t="shared" si="8"/>
        <v>#N/A</v>
      </c>
    </row>
    <row r="111" spans="1:14" ht="45" customHeight="1">
      <c r="A111" s="143"/>
      <c r="B111" s="141"/>
      <c r="C111" s="144"/>
      <c r="D111" s="131"/>
      <c r="E111" s="128"/>
      <c r="F111" s="132"/>
      <c r="G111" s="133"/>
      <c r="H111" s="137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e">
        <f t="shared" si="8"/>
        <v>#N/A</v>
      </c>
    </row>
    <row r="112" spans="1:14" ht="45" customHeight="1">
      <c r="A112" s="143"/>
      <c r="B112" s="141"/>
      <c r="C112" s="144"/>
      <c r="D112" s="131"/>
      <c r="E112" s="128"/>
      <c r="F112" s="132"/>
      <c r="G112" s="133"/>
      <c r="H112" s="137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e">
        <f t="shared" si="8"/>
        <v>#N/A</v>
      </c>
    </row>
    <row r="113" spans="1:14" ht="45" customHeight="1">
      <c r="A113" s="143"/>
      <c r="B113" s="141"/>
      <c r="C113" s="144"/>
      <c r="D113" s="131"/>
      <c r="E113" s="128"/>
      <c r="F113" s="132"/>
      <c r="G113" s="133"/>
      <c r="H113" s="137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e">
        <f t="shared" si="8"/>
        <v>#N/A</v>
      </c>
    </row>
    <row r="114" spans="1:14" ht="45" customHeight="1">
      <c r="A114" s="143"/>
      <c r="B114" s="141"/>
      <c r="C114" s="144"/>
      <c r="D114" s="131"/>
      <c r="E114" s="128"/>
      <c r="F114" s="132"/>
      <c r="G114" s="133"/>
      <c r="H114" s="137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e">
        <f t="shared" si="8"/>
        <v>#N/A</v>
      </c>
    </row>
    <row r="115" spans="1:14" ht="45" customHeight="1">
      <c r="A115" s="143"/>
      <c r="B115" s="141"/>
      <c r="C115" s="144"/>
      <c r="D115" s="131"/>
      <c r="E115" s="128"/>
      <c r="F115" s="132"/>
      <c r="G115" s="133"/>
      <c r="H115" s="137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e">
        <f t="shared" si="8"/>
        <v>#N/A</v>
      </c>
    </row>
    <row r="116" spans="1:14" ht="45" customHeight="1">
      <c r="A116" s="143"/>
      <c r="B116" s="141"/>
      <c r="C116" s="144"/>
      <c r="D116" s="131"/>
      <c r="E116" s="128"/>
      <c r="F116" s="132"/>
      <c r="G116" s="133"/>
      <c r="H116" s="137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e">
        <f t="shared" si="8"/>
        <v>#N/A</v>
      </c>
    </row>
    <row r="117" spans="1:14" ht="45" customHeight="1">
      <c r="A117" s="143"/>
      <c r="B117" s="141"/>
      <c r="C117" s="144"/>
      <c r="D117" s="131"/>
      <c r="E117" s="128"/>
      <c r="F117" s="132"/>
      <c r="G117" s="133"/>
      <c r="H117" s="137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e">
        <f t="shared" si="8"/>
        <v>#N/A</v>
      </c>
    </row>
    <row r="118" spans="1:14" ht="45" customHeight="1">
      <c r="A118" s="143"/>
      <c r="B118" s="141"/>
      <c r="C118" s="144"/>
      <c r="D118" s="131"/>
      <c r="E118" s="128"/>
      <c r="F118" s="132"/>
      <c r="G118" s="133"/>
      <c r="H118" s="137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e">
        <f t="shared" si="8"/>
        <v>#N/A</v>
      </c>
    </row>
    <row r="119" spans="1:14" ht="45" customHeight="1">
      <c r="A119" s="143"/>
      <c r="B119" s="141"/>
      <c r="C119" s="144"/>
      <c r="D119" s="131"/>
      <c r="E119" s="128"/>
      <c r="F119" s="132"/>
      <c r="G119" s="133"/>
      <c r="H119" s="137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e">
        <f t="shared" si="8"/>
        <v>#N/A</v>
      </c>
    </row>
    <row r="120" spans="1:14" ht="45" customHeight="1">
      <c r="A120" s="143"/>
      <c r="B120" s="141"/>
      <c r="C120" s="144"/>
      <c r="D120" s="131"/>
      <c r="E120" s="128"/>
      <c r="F120" s="132"/>
      <c r="G120" s="133"/>
      <c r="H120" s="137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e">
        <f t="shared" si="8"/>
        <v>#N/A</v>
      </c>
    </row>
    <row r="121" spans="1:14" ht="45" customHeight="1">
      <c r="A121" s="143"/>
      <c r="B121" s="141"/>
      <c r="C121" s="144"/>
      <c r="D121" s="131"/>
      <c r="E121" s="128"/>
      <c r="F121" s="132"/>
      <c r="G121" s="133"/>
      <c r="H121" s="137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e">
        <f t="shared" si="8"/>
        <v>#N/A</v>
      </c>
    </row>
    <row r="122" spans="1:14" ht="45" customHeight="1">
      <c r="A122" s="143"/>
      <c r="B122" s="141"/>
      <c r="C122" s="144"/>
      <c r="D122" s="131"/>
      <c r="E122" s="128"/>
      <c r="F122" s="132"/>
      <c r="G122" s="133"/>
      <c r="H122" s="137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e">
        <f t="shared" si="8"/>
        <v>#N/A</v>
      </c>
    </row>
    <row r="123" spans="1:14" ht="45" customHeight="1">
      <c r="A123" s="143"/>
      <c r="B123" s="141"/>
      <c r="C123" s="144"/>
      <c r="D123" s="131"/>
      <c r="E123" s="128"/>
      <c r="F123" s="132"/>
      <c r="G123" s="133"/>
      <c r="H123" s="137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e">
        <f t="shared" si="8"/>
        <v>#N/A</v>
      </c>
    </row>
    <row r="124" spans="1:14" ht="45" customHeight="1">
      <c r="A124" s="143"/>
      <c r="B124" s="141"/>
      <c r="C124" s="144"/>
      <c r="D124" s="131"/>
      <c r="E124" s="128"/>
      <c r="F124" s="132"/>
      <c r="G124" s="133"/>
      <c r="H124" s="137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e">
        <f t="shared" si="8"/>
        <v>#N/A</v>
      </c>
    </row>
    <row r="125" spans="1:14" ht="45" customHeight="1">
      <c r="A125" s="143"/>
      <c r="B125" s="141"/>
      <c r="C125" s="144"/>
      <c r="D125" s="131"/>
      <c r="E125" s="128"/>
      <c r="F125" s="132"/>
      <c r="G125" s="133"/>
      <c r="H125" s="137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e">
        <f t="shared" si="8"/>
        <v>#N/A</v>
      </c>
    </row>
    <row r="126" spans="1:14" ht="45" customHeight="1">
      <c r="A126" s="143"/>
      <c r="B126" s="141"/>
      <c r="C126" s="144"/>
      <c r="D126" s="131"/>
      <c r="E126" s="128"/>
      <c r="F126" s="132"/>
      <c r="G126" s="133"/>
      <c r="H126" s="137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e">
        <f t="shared" si="8"/>
        <v>#N/A</v>
      </c>
    </row>
    <row r="127" spans="1:14" ht="45" customHeight="1">
      <c r="A127" s="143"/>
      <c r="B127" s="141"/>
      <c r="C127" s="144"/>
      <c r="D127" s="131"/>
      <c r="E127" s="128"/>
      <c r="F127" s="132"/>
      <c r="G127" s="133"/>
      <c r="H127" s="137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e">
        <f t="shared" si="8"/>
        <v>#N/A</v>
      </c>
    </row>
    <row r="128" spans="1:14" ht="45" customHeight="1">
      <c r="A128" s="143"/>
      <c r="B128" s="141"/>
      <c r="C128" s="144"/>
      <c r="D128" s="131"/>
      <c r="E128" s="128"/>
      <c r="F128" s="132"/>
      <c r="G128" s="133"/>
      <c r="H128" s="137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e">
        <f t="shared" si="8"/>
        <v>#N/A</v>
      </c>
    </row>
    <row r="129" spans="1:14" ht="45" customHeight="1">
      <c r="A129" s="143"/>
      <c r="B129" s="141"/>
      <c r="C129" s="144"/>
      <c r="D129" s="131"/>
      <c r="E129" s="128"/>
      <c r="F129" s="132"/>
      <c r="G129" s="133"/>
      <c r="H129" s="137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e">
        <f t="shared" si="8"/>
        <v>#N/A</v>
      </c>
    </row>
    <row r="130" spans="1:14" ht="45" customHeight="1">
      <c r="A130" s="143"/>
      <c r="B130" s="141"/>
      <c r="C130" s="144"/>
      <c r="D130" s="131"/>
      <c r="E130" s="128"/>
      <c r="F130" s="132"/>
      <c r="G130" s="133"/>
      <c r="H130" s="137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e">
        <f t="shared" si="8"/>
        <v>#N/A</v>
      </c>
    </row>
    <row r="131" spans="1:14" ht="45" customHeight="1">
      <c r="A131" s="143"/>
      <c r="B131" s="141"/>
      <c r="C131" s="144"/>
      <c r="D131" s="131"/>
      <c r="E131" s="128"/>
      <c r="F131" s="132"/>
      <c r="G131" s="133"/>
      <c r="H131" s="137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e">
        <f t="shared" si="8"/>
        <v>#N/A</v>
      </c>
    </row>
    <row r="132" spans="1:14" ht="45" customHeight="1">
      <c r="A132" s="143"/>
      <c r="B132" s="141"/>
      <c r="C132" s="144"/>
      <c r="D132" s="131"/>
      <c r="E132" s="128"/>
      <c r="F132" s="132"/>
      <c r="G132" s="133"/>
      <c r="H132" s="137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e">
        <f t="shared" ref="N132:N195" si="13">AND($M$1="Flat Rate",M132="Staff_Costs")</f>
        <v>#N/A</v>
      </c>
    </row>
    <row r="133" spans="1:14" ht="45" customHeight="1">
      <c r="A133" s="143"/>
      <c r="B133" s="141"/>
      <c r="C133" s="144"/>
      <c r="D133" s="131"/>
      <c r="E133" s="128"/>
      <c r="F133" s="132"/>
      <c r="G133" s="133"/>
      <c r="H133" s="137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e">
        <f t="shared" si="13"/>
        <v>#N/A</v>
      </c>
    </row>
    <row r="134" spans="1:14" ht="45" customHeight="1">
      <c r="A134" s="143"/>
      <c r="B134" s="141"/>
      <c r="C134" s="144"/>
      <c r="D134" s="131"/>
      <c r="E134" s="128"/>
      <c r="F134" s="132"/>
      <c r="G134" s="133"/>
      <c r="H134" s="137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e">
        <f t="shared" si="13"/>
        <v>#N/A</v>
      </c>
    </row>
    <row r="135" spans="1:14" ht="45" customHeight="1">
      <c r="A135" s="143"/>
      <c r="B135" s="141"/>
      <c r="C135" s="144"/>
      <c r="D135" s="131"/>
      <c r="E135" s="128"/>
      <c r="F135" s="132"/>
      <c r="G135" s="133"/>
      <c r="H135" s="137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e">
        <f t="shared" si="13"/>
        <v>#N/A</v>
      </c>
    </row>
    <row r="136" spans="1:14" ht="45" customHeight="1">
      <c r="A136" s="143"/>
      <c r="B136" s="141"/>
      <c r="C136" s="144"/>
      <c r="D136" s="131"/>
      <c r="E136" s="128"/>
      <c r="F136" s="132"/>
      <c r="G136" s="133"/>
      <c r="H136" s="137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e">
        <f t="shared" si="13"/>
        <v>#N/A</v>
      </c>
    </row>
    <row r="137" spans="1:14" ht="45" customHeight="1">
      <c r="A137" s="143"/>
      <c r="B137" s="141"/>
      <c r="C137" s="144"/>
      <c r="D137" s="131"/>
      <c r="E137" s="128"/>
      <c r="F137" s="132"/>
      <c r="G137" s="133"/>
      <c r="H137" s="137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e">
        <f t="shared" si="13"/>
        <v>#N/A</v>
      </c>
    </row>
    <row r="138" spans="1:14" ht="45" customHeight="1">
      <c r="A138" s="143"/>
      <c r="B138" s="141"/>
      <c r="C138" s="144"/>
      <c r="D138" s="131"/>
      <c r="E138" s="128"/>
      <c r="F138" s="132"/>
      <c r="G138" s="133"/>
      <c r="H138" s="137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e">
        <f t="shared" si="13"/>
        <v>#N/A</v>
      </c>
    </row>
    <row r="139" spans="1:14" ht="45" customHeight="1">
      <c r="A139" s="143"/>
      <c r="B139" s="141"/>
      <c r="C139" s="144"/>
      <c r="D139" s="131"/>
      <c r="E139" s="128"/>
      <c r="F139" s="132"/>
      <c r="G139" s="133"/>
      <c r="H139" s="137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e">
        <f t="shared" si="13"/>
        <v>#N/A</v>
      </c>
    </row>
    <row r="140" spans="1:14" ht="45" customHeight="1">
      <c r="A140" s="143"/>
      <c r="B140" s="141"/>
      <c r="C140" s="144"/>
      <c r="D140" s="131"/>
      <c r="E140" s="128"/>
      <c r="F140" s="132"/>
      <c r="G140" s="133"/>
      <c r="H140" s="137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e">
        <f t="shared" si="13"/>
        <v>#N/A</v>
      </c>
    </row>
    <row r="141" spans="1:14" ht="45" customHeight="1">
      <c r="A141" s="143"/>
      <c r="B141" s="141"/>
      <c r="C141" s="144"/>
      <c r="D141" s="131"/>
      <c r="E141" s="128"/>
      <c r="F141" s="132"/>
      <c r="G141" s="133"/>
      <c r="H141" s="137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e">
        <f t="shared" si="13"/>
        <v>#N/A</v>
      </c>
    </row>
    <row r="142" spans="1:14" ht="45" customHeight="1">
      <c r="A142" s="143"/>
      <c r="B142" s="141"/>
      <c r="C142" s="144"/>
      <c r="D142" s="131"/>
      <c r="E142" s="128"/>
      <c r="F142" s="132"/>
      <c r="G142" s="133"/>
      <c r="H142" s="137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e">
        <f t="shared" si="13"/>
        <v>#N/A</v>
      </c>
    </row>
    <row r="143" spans="1:14" ht="45" customHeight="1">
      <c r="A143" s="143"/>
      <c r="B143" s="141"/>
      <c r="C143" s="144"/>
      <c r="D143" s="131"/>
      <c r="E143" s="128"/>
      <c r="F143" s="132"/>
      <c r="G143" s="133"/>
      <c r="H143" s="137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e">
        <f t="shared" si="13"/>
        <v>#N/A</v>
      </c>
    </row>
    <row r="144" spans="1:14" ht="45" customHeight="1">
      <c r="A144" s="143"/>
      <c r="B144" s="141"/>
      <c r="C144" s="144"/>
      <c r="D144" s="131"/>
      <c r="E144" s="128"/>
      <c r="F144" s="132"/>
      <c r="G144" s="133"/>
      <c r="H144" s="137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e">
        <f t="shared" si="13"/>
        <v>#N/A</v>
      </c>
    </row>
    <row r="145" spans="1:14" ht="45" customHeight="1">
      <c r="A145" s="143"/>
      <c r="B145" s="141"/>
      <c r="C145" s="144"/>
      <c r="D145" s="131"/>
      <c r="E145" s="128"/>
      <c r="F145" s="132"/>
      <c r="G145" s="133"/>
      <c r="H145" s="137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e">
        <f t="shared" si="13"/>
        <v>#N/A</v>
      </c>
    </row>
    <row r="146" spans="1:14" ht="45" customHeight="1">
      <c r="A146" s="143"/>
      <c r="B146" s="141"/>
      <c r="C146" s="144"/>
      <c r="D146" s="131"/>
      <c r="E146" s="128"/>
      <c r="F146" s="132"/>
      <c r="G146" s="133"/>
      <c r="H146" s="137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e">
        <f t="shared" si="13"/>
        <v>#N/A</v>
      </c>
    </row>
    <row r="147" spans="1:14" ht="45" customHeight="1">
      <c r="A147" s="143"/>
      <c r="B147" s="141"/>
      <c r="C147" s="144"/>
      <c r="D147" s="131"/>
      <c r="E147" s="128"/>
      <c r="F147" s="132"/>
      <c r="G147" s="133"/>
      <c r="H147" s="137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e">
        <f t="shared" si="13"/>
        <v>#N/A</v>
      </c>
    </row>
    <row r="148" spans="1:14" ht="45" customHeight="1">
      <c r="A148" s="143"/>
      <c r="B148" s="141"/>
      <c r="C148" s="144"/>
      <c r="D148" s="131"/>
      <c r="E148" s="128"/>
      <c r="F148" s="132"/>
      <c r="G148" s="133"/>
      <c r="H148" s="137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e">
        <f t="shared" si="13"/>
        <v>#N/A</v>
      </c>
    </row>
    <row r="149" spans="1:14" ht="45" customHeight="1">
      <c r="A149" s="143"/>
      <c r="B149" s="141"/>
      <c r="C149" s="144"/>
      <c r="D149" s="131"/>
      <c r="E149" s="128"/>
      <c r="F149" s="132"/>
      <c r="G149" s="133"/>
      <c r="H149" s="137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e">
        <f t="shared" si="13"/>
        <v>#N/A</v>
      </c>
    </row>
    <row r="150" spans="1:14" ht="45" customHeight="1">
      <c r="A150" s="143"/>
      <c r="B150" s="141"/>
      <c r="C150" s="144"/>
      <c r="D150" s="131"/>
      <c r="E150" s="128"/>
      <c r="F150" s="132"/>
      <c r="G150" s="133"/>
      <c r="H150" s="137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e">
        <f t="shared" si="13"/>
        <v>#N/A</v>
      </c>
    </row>
    <row r="151" spans="1:14" ht="45" customHeight="1">
      <c r="A151" s="143"/>
      <c r="B151" s="141"/>
      <c r="C151" s="144"/>
      <c r="D151" s="131"/>
      <c r="E151" s="128"/>
      <c r="F151" s="132"/>
      <c r="G151" s="133"/>
      <c r="H151" s="137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e">
        <f t="shared" si="13"/>
        <v>#N/A</v>
      </c>
    </row>
    <row r="152" spans="1:14" ht="45" customHeight="1">
      <c r="A152" s="143"/>
      <c r="B152" s="141"/>
      <c r="C152" s="144"/>
      <c r="D152" s="131"/>
      <c r="E152" s="128"/>
      <c r="F152" s="132"/>
      <c r="G152" s="133"/>
      <c r="H152" s="137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e">
        <f t="shared" si="13"/>
        <v>#N/A</v>
      </c>
    </row>
    <row r="153" spans="1:14" ht="45" customHeight="1">
      <c r="A153" s="143"/>
      <c r="B153" s="141"/>
      <c r="C153" s="144"/>
      <c r="D153" s="131"/>
      <c r="E153" s="128"/>
      <c r="F153" s="132"/>
      <c r="G153" s="133"/>
      <c r="H153" s="137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e">
        <f t="shared" si="13"/>
        <v>#N/A</v>
      </c>
    </row>
    <row r="154" spans="1:14" ht="45" customHeight="1">
      <c r="A154" s="143"/>
      <c r="B154" s="141"/>
      <c r="C154" s="144"/>
      <c r="D154" s="131"/>
      <c r="E154" s="128"/>
      <c r="F154" s="132"/>
      <c r="G154" s="133"/>
      <c r="H154" s="137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e">
        <f t="shared" si="13"/>
        <v>#N/A</v>
      </c>
    </row>
    <row r="155" spans="1:14" ht="45" customHeight="1">
      <c r="A155" s="143"/>
      <c r="B155" s="141"/>
      <c r="C155" s="144"/>
      <c r="D155" s="131"/>
      <c r="E155" s="128"/>
      <c r="F155" s="132"/>
      <c r="G155" s="133"/>
      <c r="H155" s="137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e">
        <f t="shared" si="13"/>
        <v>#N/A</v>
      </c>
    </row>
    <row r="156" spans="1:14" ht="45" customHeight="1">
      <c r="A156" s="143"/>
      <c r="B156" s="141"/>
      <c r="C156" s="144"/>
      <c r="D156" s="131"/>
      <c r="E156" s="128"/>
      <c r="F156" s="132"/>
      <c r="G156" s="133"/>
      <c r="H156" s="137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e">
        <f t="shared" si="13"/>
        <v>#N/A</v>
      </c>
    </row>
    <row r="157" spans="1:14" ht="45" customHeight="1">
      <c r="A157" s="143"/>
      <c r="B157" s="141"/>
      <c r="C157" s="144"/>
      <c r="D157" s="131"/>
      <c r="E157" s="128"/>
      <c r="F157" s="132"/>
      <c r="G157" s="133"/>
      <c r="H157" s="137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e">
        <f t="shared" si="13"/>
        <v>#N/A</v>
      </c>
    </row>
    <row r="158" spans="1:14" ht="45" customHeight="1">
      <c r="A158" s="143"/>
      <c r="B158" s="141"/>
      <c r="C158" s="144"/>
      <c r="D158" s="131"/>
      <c r="E158" s="128"/>
      <c r="F158" s="132"/>
      <c r="G158" s="133"/>
      <c r="H158" s="137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e">
        <f t="shared" si="13"/>
        <v>#N/A</v>
      </c>
    </row>
    <row r="159" spans="1:14" ht="45" customHeight="1">
      <c r="A159" s="143"/>
      <c r="B159" s="141"/>
      <c r="C159" s="144"/>
      <c r="D159" s="131"/>
      <c r="E159" s="128"/>
      <c r="F159" s="132"/>
      <c r="G159" s="133"/>
      <c r="H159" s="137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e">
        <f t="shared" si="13"/>
        <v>#N/A</v>
      </c>
    </row>
    <row r="160" spans="1:14" ht="45" customHeight="1">
      <c r="A160" s="143"/>
      <c r="B160" s="141"/>
      <c r="C160" s="144"/>
      <c r="D160" s="131"/>
      <c r="E160" s="128"/>
      <c r="F160" s="132"/>
      <c r="G160" s="133"/>
      <c r="H160" s="137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e">
        <f t="shared" si="13"/>
        <v>#N/A</v>
      </c>
    </row>
    <row r="161" spans="1:14" ht="45" customHeight="1">
      <c r="A161" s="143"/>
      <c r="B161" s="141"/>
      <c r="C161" s="144"/>
      <c r="D161" s="131"/>
      <c r="E161" s="128"/>
      <c r="F161" s="132"/>
      <c r="G161" s="133"/>
      <c r="H161" s="137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e">
        <f t="shared" si="13"/>
        <v>#N/A</v>
      </c>
    </row>
    <row r="162" spans="1:14" ht="45" customHeight="1">
      <c r="A162" s="143"/>
      <c r="B162" s="141"/>
      <c r="C162" s="144"/>
      <c r="D162" s="131"/>
      <c r="E162" s="128"/>
      <c r="F162" s="132"/>
      <c r="G162" s="133"/>
      <c r="H162" s="137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e">
        <f t="shared" si="13"/>
        <v>#N/A</v>
      </c>
    </row>
    <row r="163" spans="1:14" ht="45" customHeight="1">
      <c r="A163" s="143"/>
      <c r="B163" s="141"/>
      <c r="C163" s="144"/>
      <c r="D163" s="131"/>
      <c r="E163" s="128"/>
      <c r="F163" s="132"/>
      <c r="G163" s="133"/>
      <c r="H163" s="137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e">
        <f t="shared" si="13"/>
        <v>#N/A</v>
      </c>
    </row>
    <row r="164" spans="1:14" ht="45" customHeight="1">
      <c r="A164" s="143"/>
      <c r="B164" s="141"/>
      <c r="C164" s="144"/>
      <c r="D164" s="131"/>
      <c r="E164" s="128"/>
      <c r="F164" s="132"/>
      <c r="G164" s="133"/>
      <c r="H164" s="137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e">
        <f t="shared" si="13"/>
        <v>#N/A</v>
      </c>
    </row>
    <row r="165" spans="1:14" ht="45" customHeight="1">
      <c r="A165" s="143"/>
      <c r="B165" s="141"/>
      <c r="C165" s="144"/>
      <c r="D165" s="131"/>
      <c r="E165" s="128"/>
      <c r="F165" s="132"/>
      <c r="G165" s="133"/>
      <c r="H165" s="137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e">
        <f t="shared" si="13"/>
        <v>#N/A</v>
      </c>
    </row>
    <row r="166" spans="1:14" ht="45" customHeight="1">
      <c r="A166" s="143"/>
      <c r="B166" s="141"/>
      <c r="C166" s="144"/>
      <c r="D166" s="131"/>
      <c r="E166" s="128"/>
      <c r="F166" s="132"/>
      <c r="G166" s="133"/>
      <c r="H166" s="137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e">
        <f t="shared" si="13"/>
        <v>#N/A</v>
      </c>
    </row>
    <row r="167" spans="1:14" ht="45" customHeight="1">
      <c r="A167" s="143"/>
      <c r="B167" s="141"/>
      <c r="C167" s="144"/>
      <c r="D167" s="131"/>
      <c r="E167" s="128"/>
      <c r="F167" s="132"/>
      <c r="G167" s="133"/>
      <c r="H167" s="137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e">
        <f t="shared" si="13"/>
        <v>#N/A</v>
      </c>
    </row>
    <row r="168" spans="1:14" ht="45" customHeight="1">
      <c r="A168" s="143"/>
      <c r="B168" s="141"/>
      <c r="C168" s="144"/>
      <c r="D168" s="131"/>
      <c r="E168" s="128"/>
      <c r="F168" s="132"/>
      <c r="G168" s="133"/>
      <c r="H168" s="137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e">
        <f t="shared" si="13"/>
        <v>#N/A</v>
      </c>
    </row>
    <row r="169" spans="1:14" ht="45" customHeight="1">
      <c r="A169" s="143"/>
      <c r="B169" s="141"/>
      <c r="C169" s="144"/>
      <c r="D169" s="131"/>
      <c r="E169" s="128"/>
      <c r="F169" s="132"/>
      <c r="G169" s="133"/>
      <c r="H169" s="137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e">
        <f t="shared" si="13"/>
        <v>#N/A</v>
      </c>
    </row>
    <row r="170" spans="1:14" ht="45" customHeight="1">
      <c r="A170" s="143"/>
      <c r="B170" s="141"/>
      <c r="C170" s="144"/>
      <c r="D170" s="131"/>
      <c r="E170" s="128"/>
      <c r="F170" s="132"/>
      <c r="G170" s="133"/>
      <c r="H170" s="137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e">
        <f t="shared" si="13"/>
        <v>#N/A</v>
      </c>
    </row>
    <row r="171" spans="1:14" ht="45" customHeight="1">
      <c r="A171" s="143"/>
      <c r="B171" s="141"/>
      <c r="C171" s="144"/>
      <c r="D171" s="131"/>
      <c r="E171" s="128"/>
      <c r="F171" s="132"/>
      <c r="G171" s="133"/>
      <c r="H171" s="137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e">
        <f t="shared" si="13"/>
        <v>#N/A</v>
      </c>
    </row>
    <row r="172" spans="1:14" ht="45" customHeight="1">
      <c r="A172" s="143"/>
      <c r="B172" s="141"/>
      <c r="C172" s="144"/>
      <c r="D172" s="131"/>
      <c r="E172" s="128"/>
      <c r="F172" s="132"/>
      <c r="G172" s="133"/>
      <c r="H172" s="137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e">
        <f t="shared" si="13"/>
        <v>#N/A</v>
      </c>
    </row>
    <row r="173" spans="1:14" ht="45" customHeight="1">
      <c r="A173" s="143"/>
      <c r="B173" s="141"/>
      <c r="C173" s="144"/>
      <c r="D173" s="131"/>
      <c r="E173" s="128"/>
      <c r="F173" s="132"/>
      <c r="G173" s="133"/>
      <c r="H173" s="137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e">
        <f t="shared" si="13"/>
        <v>#N/A</v>
      </c>
    </row>
    <row r="174" spans="1:14" ht="45" customHeight="1">
      <c r="A174" s="143"/>
      <c r="B174" s="141"/>
      <c r="C174" s="144"/>
      <c r="D174" s="131"/>
      <c r="E174" s="128"/>
      <c r="F174" s="132"/>
      <c r="G174" s="133"/>
      <c r="H174" s="137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e">
        <f t="shared" si="13"/>
        <v>#N/A</v>
      </c>
    </row>
    <row r="175" spans="1:14" ht="45" customHeight="1">
      <c r="A175" s="143"/>
      <c r="B175" s="141"/>
      <c r="C175" s="144"/>
      <c r="D175" s="131"/>
      <c r="E175" s="128"/>
      <c r="F175" s="132"/>
      <c r="G175" s="133"/>
      <c r="H175" s="137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e">
        <f t="shared" si="13"/>
        <v>#N/A</v>
      </c>
    </row>
    <row r="176" spans="1:14" ht="45" customHeight="1">
      <c r="A176" s="143"/>
      <c r="B176" s="141"/>
      <c r="C176" s="144"/>
      <c r="D176" s="131"/>
      <c r="E176" s="128"/>
      <c r="F176" s="132"/>
      <c r="G176" s="133"/>
      <c r="H176" s="137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e">
        <f t="shared" si="13"/>
        <v>#N/A</v>
      </c>
    </row>
    <row r="177" spans="1:14" ht="45" customHeight="1">
      <c r="A177" s="143"/>
      <c r="B177" s="141"/>
      <c r="C177" s="144"/>
      <c r="D177" s="131"/>
      <c r="E177" s="128"/>
      <c r="F177" s="132"/>
      <c r="G177" s="133"/>
      <c r="H177" s="137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e">
        <f t="shared" si="13"/>
        <v>#N/A</v>
      </c>
    </row>
    <row r="178" spans="1:14" ht="45" customHeight="1">
      <c r="A178" s="143"/>
      <c r="B178" s="141"/>
      <c r="C178" s="144"/>
      <c r="D178" s="131"/>
      <c r="E178" s="128"/>
      <c r="F178" s="132"/>
      <c r="G178" s="133"/>
      <c r="H178" s="137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e">
        <f t="shared" si="13"/>
        <v>#N/A</v>
      </c>
    </row>
    <row r="179" spans="1:14" ht="45" customHeight="1">
      <c r="A179" s="143"/>
      <c r="B179" s="141"/>
      <c r="C179" s="144"/>
      <c r="D179" s="131"/>
      <c r="E179" s="128"/>
      <c r="F179" s="132"/>
      <c r="G179" s="133"/>
      <c r="H179" s="137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e">
        <f t="shared" si="13"/>
        <v>#N/A</v>
      </c>
    </row>
    <row r="180" spans="1:14" ht="45" customHeight="1">
      <c r="A180" s="143"/>
      <c r="B180" s="141"/>
      <c r="C180" s="144"/>
      <c r="D180" s="131"/>
      <c r="E180" s="128"/>
      <c r="F180" s="132"/>
      <c r="G180" s="133"/>
      <c r="H180" s="137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e">
        <f t="shared" si="13"/>
        <v>#N/A</v>
      </c>
    </row>
    <row r="181" spans="1:14" ht="45" customHeight="1">
      <c r="A181" s="143"/>
      <c r="B181" s="141"/>
      <c r="C181" s="144"/>
      <c r="D181" s="131"/>
      <c r="E181" s="128"/>
      <c r="F181" s="132"/>
      <c r="G181" s="133"/>
      <c r="H181" s="137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e">
        <f t="shared" si="13"/>
        <v>#N/A</v>
      </c>
    </row>
    <row r="182" spans="1:14" ht="45" customHeight="1">
      <c r="A182" s="143"/>
      <c r="B182" s="141"/>
      <c r="C182" s="144"/>
      <c r="D182" s="131"/>
      <c r="E182" s="128"/>
      <c r="F182" s="132"/>
      <c r="G182" s="133"/>
      <c r="H182" s="137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e">
        <f t="shared" si="13"/>
        <v>#N/A</v>
      </c>
    </row>
    <row r="183" spans="1:14" ht="45" customHeight="1">
      <c r="A183" s="143"/>
      <c r="B183" s="141"/>
      <c r="C183" s="144"/>
      <c r="D183" s="131"/>
      <c r="E183" s="128"/>
      <c r="F183" s="132"/>
      <c r="G183" s="133"/>
      <c r="H183" s="137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e">
        <f t="shared" si="13"/>
        <v>#N/A</v>
      </c>
    </row>
    <row r="184" spans="1:14" ht="45" customHeight="1">
      <c r="A184" s="143"/>
      <c r="B184" s="141"/>
      <c r="C184" s="144"/>
      <c r="D184" s="131"/>
      <c r="E184" s="128"/>
      <c r="F184" s="132"/>
      <c r="G184" s="133"/>
      <c r="H184" s="137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e">
        <f t="shared" si="13"/>
        <v>#N/A</v>
      </c>
    </row>
    <row r="185" spans="1:14" ht="45" customHeight="1">
      <c r="A185" s="143"/>
      <c r="B185" s="141"/>
      <c r="C185" s="144"/>
      <c r="D185" s="131"/>
      <c r="E185" s="128"/>
      <c r="F185" s="132"/>
      <c r="G185" s="133"/>
      <c r="H185" s="137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e">
        <f t="shared" si="13"/>
        <v>#N/A</v>
      </c>
    </row>
    <row r="186" spans="1:14" ht="45" customHeight="1">
      <c r="A186" s="143"/>
      <c r="B186" s="141"/>
      <c r="C186" s="144"/>
      <c r="D186" s="131"/>
      <c r="E186" s="128"/>
      <c r="F186" s="132"/>
      <c r="G186" s="133"/>
      <c r="H186" s="137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e">
        <f t="shared" si="13"/>
        <v>#N/A</v>
      </c>
    </row>
    <row r="187" spans="1:14" ht="45" customHeight="1">
      <c r="A187" s="143"/>
      <c r="B187" s="141"/>
      <c r="C187" s="144"/>
      <c r="D187" s="131"/>
      <c r="E187" s="128"/>
      <c r="F187" s="132"/>
      <c r="G187" s="133"/>
      <c r="H187" s="137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e">
        <f t="shared" si="13"/>
        <v>#N/A</v>
      </c>
    </row>
    <row r="188" spans="1:14" ht="45" customHeight="1">
      <c r="A188" s="143"/>
      <c r="B188" s="141"/>
      <c r="C188" s="144"/>
      <c r="D188" s="131"/>
      <c r="E188" s="128"/>
      <c r="F188" s="132"/>
      <c r="G188" s="133"/>
      <c r="H188" s="137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e">
        <f t="shared" si="13"/>
        <v>#N/A</v>
      </c>
    </row>
    <row r="189" spans="1:14" ht="45" customHeight="1">
      <c r="A189" s="143"/>
      <c r="B189" s="141"/>
      <c r="C189" s="144"/>
      <c r="D189" s="131"/>
      <c r="E189" s="128"/>
      <c r="F189" s="132"/>
      <c r="G189" s="133"/>
      <c r="H189" s="137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e">
        <f t="shared" si="13"/>
        <v>#N/A</v>
      </c>
    </row>
    <row r="190" spans="1:14" ht="45" customHeight="1">
      <c r="A190" s="143"/>
      <c r="B190" s="141"/>
      <c r="C190" s="144"/>
      <c r="D190" s="131"/>
      <c r="E190" s="128"/>
      <c r="F190" s="132"/>
      <c r="G190" s="133"/>
      <c r="H190" s="137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e">
        <f t="shared" si="13"/>
        <v>#N/A</v>
      </c>
    </row>
    <row r="191" spans="1:14" ht="45" customHeight="1">
      <c r="A191" s="143"/>
      <c r="B191" s="141"/>
      <c r="C191" s="144"/>
      <c r="D191" s="131"/>
      <c r="E191" s="128"/>
      <c r="F191" s="132"/>
      <c r="G191" s="133"/>
      <c r="H191" s="137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e">
        <f t="shared" si="13"/>
        <v>#N/A</v>
      </c>
    </row>
    <row r="192" spans="1:14" ht="45" customHeight="1">
      <c r="A192" s="143"/>
      <c r="B192" s="141"/>
      <c r="C192" s="144"/>
      <c r="D192" s="131"/>
      <c r="E192" s="128"/>
      <c r="F192" s="132"/>
      <c r="G192" s="133"/>
      <c r="H192" s="137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e">
        <f t="shared" si="13"/>
        <v>#N/A</v>
      </c>
    </row>
    <row r="193" spans="1:16" ht="45" customHeight="1">
      <c r="A193" s="143"/>
      <c r="B193" s="141"/>
      <c r="C193" s="144"/>
      <c r="D193" s="131"/>
      <c r="E193" s="128"/>
      <c r="F193" s="132"/>
      <c r="G193" s="133"/>
      <c r="H193" s="137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e">
        <f t="shared" si="13"/>
        <v>#N/A</v>
      </c>
    </row>
    <row r="194" spans="1:16" ht="45" customHeight="1">
      <c r="A194" s="143"/>
      <c r="B194" s="141"/>
      <c r="C194" s="144"/>
      <c r="D194" s="131"/>
      <c r="E194" s="128"/>
      <c r="F194" s="132"/>
      <c r="G194" s="133"/>
      <c r="H194" s="137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e">
        <f t="shared" si="13"/>
        <v>#N/A</v>
      </c>
    </row>
    <row r="195" spans="1:16" ht="45" customHeight="1">
      <c r="A195" s="143"/>
      <c r="B195" s="141"/>
      <c r="C195" s="144"/>
      <c r="D195" s="131"/>
      <c r="E195" s="128"/>
      <c r="F195" s="132"/>
      <c r="G195" s="133"/>
      <c r="H195" s="137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e">
        <f t="shared" si="13"/>
        <v>#N/A</v>
      </c>
    </row>
    <row r="196" spans="1:16" ht="45" customHeight="1">
      <c r="A196" s="143"/>
      <c r="B196" s="141"/>
      <c r="C196" s="144"/>
      <c r="D196" s="131"/>
      <c r="E196" s="128"/>
      <c r="F196" s="132"/>
      <c r="G196" s="133"/>
      <c r="H196" s="137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e">
        <f t="shared" ref="N196:N201" si="18">AND($M$1="Flat Rate",M196="Staff_Costs")</f>
        <v>#N/A</v>
      </c>
    </row>
    <row r="197" spans="1:16" ht="45" customHeight="1">
      <c r="A197" s="143"/>
      <c r="B197" s="141"/>
      <c r="C197" s="144"/>
      <c r="D197" s="131"/>
      <c r="E197" s="128"/>
      <c r="F197" s="132"/>
      <c r="G197" s="133"/>
      <c r="H197" s="137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e">
        <f t="shared" si="18"/>
        <v>#N/A</v>
      </c>
    </row>
    <row r="198" spans="1:16" ht="47.25" customHeight="1">
      <c r="A198" s="143"/>
      <c r="B198" s="141"/>
      <c r="C198" s="144"/>
      <c r="D198" s="131"/>
      <c r="E198" s="128"/>
      <c r="F198" s="132"/>
      <c r="G198" s="133"/>
      <c r="H198" s="137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e">
        <f t="shared" si="18"/>
        <v>#N/A</v>
      </c>
    </row>
    <row r="199" spans="1:16" ht="47.25" customHeight="1">
      <c r="A199" s="143"/>
      <c r="B199" s="141"/>
      <c r="C199" s="144"/>
      <c r="D199" s="131"/>
      <c r="E199" s="128"/>
      <c r="F199" s="132"/>
      <c r="G199" s="133"/>
      <c r="H199" s="137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e">
        <f t="shared" si="18"/>
        <v>#N/A</v>
      </c>
    </row>
    <row r="200" spans="1:16" ht="47.25" customHeight="1">
      <c r="A200" s="143"/>
      <c r="B200" s="141"/>
      <c r="C200" s="144"/>
      <c r="D200" s="131"/>
      <c r="E200" s="128"/>
      <c r="F200" s="132"/>
      <c r="G200" s="133"/>
      <c r="H200" s="137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e">
        <f t="shared" si="18"/>
        <v>#N/A</v>
      </c>
    </row>
    <row r="201" spans="1:16" ht="47.25" customHeight="1">
      <c r="A201" s="143"/>
      <c r="B201" s="141"/>
      <c r="C201" s="144"/>
      <c r="D201" s="131"/>
      <c r="E201" s="128"/>
      <c r="F201" s="132"/>
      <c r="G201" s="133"/>
      <c r="H201" s="137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e">
        <f t="shared" si="18"/>
        <v>#N/A</v>
      </c>
    </row>
    <row r="202" spans="1:16" ht="18.75">
      <c r="L202" t="s">
        <v>524</v>
      </c>
      <c r="M202" s="66" t="str">
        <f>IF(I1=0,"-",IF(M203=0,"No Staff Costs",IF(P204=TRUE,"ERROR",IF(N204=TRUE,"Flat Rate", IF(N204=FALSE,"Real Costs", )))))</f>
        <v>-</v>
      </c>
      <c r="N202" t="s">
        <v>521</v>
      </c>
      <c r="O202" t="s">
        <v>522</v>
      </c>
      <c r="P202" t="s">
        <v>523</v>
      </c>
    </row>
    <row r="203" spans="1:16">
      <c r="L203" t="s">
        <v>526</v>
      </c>
      <c r="M203">
        <f>COUNTIF(L3:L201,"Staff*")</f>
        <v>0</v>
      </c>
    </row>
    <row r="204" spans="1:16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>
      <c r="L205" t="s">
        <v>518</v>
      </c>
      <c r="M205">
        <f>COUNTIF(L3:L201,"Staff Costs-Real*")</f>
        <v>0</v>
      </c>
    </row>
    <row r="206" spans="1:16" ht="18.75">
      <c r="L206" t="s">
        <v>525</v>
      </c>
      <c r="M206" s="66" t="str">
        <f>IF(I1=0,"-",IF(M207=0,"No O&amp;A Costs",IF(P208=TRUE,"ERROR",IF(N208=TRUE,"Flat Rate", IF(N208=FALSE,"Real Costs", )))))</f>
        <v>-</v>
      </c>
    </row>
    <row r="207" spans="1:16">
      <c r="L207" t="s">
        <v>527</v>
      </c>
      <c r="M207">
        <f>COUNTIF(L3:L201,"Office*")</f>
        <v>0</v>
      </c>
    </row>
    <row r="208" spans="1:16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>
      <c r="L209" t="s">
        <v>520</v>
      </c>
      <c r="M209">
        <f>COUNTIF(L3:L201,"Office and Administration-Real*")</f>
        <v>0</v>
      </c>
    </row>
  </sheetData>
  <sheetProtection password="C613" sheet="1" objects="1" scenarios="1" autoFilter="0"/>
  <autoFilter ref="A2:I2"/>
  <dataConsolidate/>
  <mergeCells count="1">
    <mergeCell ref="G1:H1"/>
  </mergeCells>
  <conditionalFormatting sqref="E1:F1">
    <cfRule type="cellIs" dxfId="51" priority="12" stopIfTrue="1" operator="equal">
      <formula>0</formula>
    </cfRule>
  </conditionalFormatting>
  <conditionalFormatting sqref="I3:I201">
    <cfRule type="expression" dxfId="50" priority="11" stopIfTrue="1">
      <formula>AND(C3="",NOT(H3=""))</formula>
    </cfRule>
  </conditionalFormatting>
  <conditionalFormatting sqref="I3:I201">
    <cfRule type="expression" dxfId="49" priority="10" stopIfTrue="1">
      <formula>AND(B3="",NOT(H3=""))</formula>
    </cfRule>
  </conditionalFormatting>
  <conditionalFormatting sqref="F3">
    <cfRule type="expression" dxfId="48" priority="9" stopIfTrue="1">
      <formula>D3="Flat Rate"</formula>
    </cfRule>
  </conditionalFormatting>
  <conditionalFormatting sqref="F4:F201">
    <cfRule type="expression" dxfId="47" priority="8" stopIfTrue="1">
      <formula>D4="Flat Rate"</formula>
    </cfRule>
  </conditionalFormatting>
  <conditionalFormatting sqref="G3:G201">
    <cfRule type="expression" dxfId="46" priority="1" stopIfTrue="1">
      <formula>D3="Flat Rate"</formula>
    </cfRule>
    <cfRule type="expression" dxfId="45" priority="2" stopIfTrue="1">
      <formula>C3="Staff Costs"</formula>
    </cfRule>
    <cfRule type="expression" dxfId="44" priority="3" stopIfTrue="1">
      <formula>C3="Travel and Accommodation"</formula>
    </cfRule>
  </conditionalFormatting>
  <dataValidations count="5">
    <dataValidation type="list" allowBlank="1" showInputMessage="1" showErrorMessage="1" sqref="A3:A201">
      <formula1>WPs</formula1>
    </dataValidation>
    <dataValidation type="list" allowBlank="1" showInputMessage="1" showErrorMessage="1" sqref="C3:C201">
      <formula1>Budgetline</formula1>
    </dataValidation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sqref="B3:B201">
      <formula1>IF(A3="WP1", P7WP1, IF(A3="WP2",P7WP2,IF(A3="WP3",P7WP3,IF(A3="WP4",P7WP4,IF(A3="WP5",P7WP5,IF(A3="WP6",P7WP6,0))))))</formula1>
    </dataValidation>
    <dataValidation type="list" allowBlank="1" showInputMessage="1" showErrorMessage="1" errorTitle="Change Budget line orType" sqref="D3:D201">
      <formula1>IF(N3=TRUE,Flat,INDIRECT(M3))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4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P209"/>
  <sheetViews>
    <sheetView zoomScale="55" zoomScaleNormal="55" zoomScaleSheetLayoutView="70" workbookViewId="0">
      <selection activeCell="G62" sqref="G62"/>
    </sheetView>
  </sheetViews>
  <sheetFormatPr defaultRowHeight="1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0" width="11.42578125" hidden="1" customWidth="1"/>
    <col min="11" max="12" width="0" hidden="1" customWidth="1"/>
    <col min="13" max="13" width="15.140625" hidden="1" customWidth="1"/>
    <col min="14" max="16" width="0" hidden="1" customWidth="1"/>
  </cols>
  <sheetData>
    <row r="1" spans="1:14" ht="15.75">
      <c r="A1" s="36"/>
      <c r="B1" s="36"/>
      <c r="C1" s="36"/>
      <c r="D1" s="55" t="s">
        <v>15</v>
      </c>
      <c r="E1" s="56">
        <f>'Cover page'!C29</f>
        <v>0</v>
      </c>
      <c r="F1" s="56">
        <f>'Cover page'!G29</f>
        <v>0</v>
      </c>
      <c r="G1" s="195" t="s">
        <v>412</v>
      </c>
      <c r="H1" s="196"/>
      <c r="I1" s="52">
        <f>SUMIF(B3:B201,"D*",I3:I201)</f>
        <v>0</v>
      </c>
      <c r="M1">
        <f>'Cover page'!G33</f>
        <v>0</v>
      </c>
    </row>
    <row r="2" spans="1:14" ht="32.25" customHeight="1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L2" s="65" t="s">
        <v>516</v>
      </c>
      <c r="M2" s="65" t="s">
        <v>578</v>
      </c>
      <c r="N2" s="65" t="s">
        <v>580</v>
      </c>
    </row>
    <row r="3" spans="1:14" ht="45" customHeight="1">
      <c r="A3" s="129"/>
      <c r="B3" s="129"/>
      <c r="C3" s="130"/>
      <c r="D3" s="131"/>
      <c r="E3" s="124"/>
      <c r="F3" s="132"/>
      <c r="G3" s="133"/>
      <c r="H3" s="134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e">
        <f>AND($M$1="Flat Rate",M3="Staff_Costs")</f>
        <v>#N/A</v>
      </c>
    </row>
    <row r="4" spans="1:14" ht="45" customHeight="1">
      <c r="A4" s="135"/>
      <c r="B4" s="129"/>
      <c r="C4" s="136"/>
      <c r="D4" s="131"/>
      <c r="E4" s="124"/>
      <c r="F4" s="132"/>
      <c r="G4" s="133"/>
      <c r="H4" s="137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e">
        <f t="shared" ref="N4:N67" si="3">AND($M$1="Flat Rate",M4="Staff_Costs")</f>
        <v>#N/A</v>
      </c>
    </row>
    <row r="5" spans="1:14" ht="45" customHeight="1">
      <c r="A5" s="135"/>
      <c r="B5" s="129"/>
      <c r="C5" s="136"/>
      <c r="D5" s="131"/>
      <c r="E5" s="124"/>
      <c r="F5" s="132"/>
      <c r="G5" s="133"/>
      <c r="H5" s="137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e">
        <f t="shared" si="3"/>
        <v>#N/A</v>
      </c>
    </row>
    <row r="6" spans="1:14" ht="45" customHeight="1">
      <c r="A6" s="135"/>
      <c r="B6" s="129"/>
      <c r="C6" s="136"/>
      <c r="D6" s="131"/>
      <c r="E6" s="124"/>
      <c r="F6" s="132"/>
      <c r="G6" s="133"/>
      <c r="H6" s="137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e">
        <f t="shared" si="3"/>
        <v>#N/A</v>
      </c>
    </row>
    <row r="7" spans="1:14" ht="45" customHeight="1">
      <c r="A7" s="135"/>
      <c r="B7" s="129"/>
      <c r="C7" s="136"/>
      <c r="D7" s="131"/>
      <c r="E7" s="124"/>
      <c r="F7" s="132"/>
      <c r="G7" s="133"/>
      <c r="H7" s="137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e">
        <f t="shared" si="3"/>
        <v>#N/A</v>
      </c>
    </row>
    <row r="8" spans="1:14" ht="45" customHeight="1">
      <c r="A8" s="135"/>
      <c r="B8" s="129"/>
      <c r="C8" s="136"/>
      <c r="D8" s="131"/>
      <c r="E8" s="124"/>
      <c r="F8" s="132"/>
      <c r="G8" s="133"/>
      <c r="H8" s="137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e">
        <f t="shared" si="3"/>
        <v>#N/A</v>
      </c>
    </row>
    <row r="9" spans="1:14" ht="45" customHeight="1">
      <c r="A9" s="135"/>
      <c r="B9" s="129"/>
      <c r="C9" s="136"/>
      <c r="D9" s="131"/>
      <c r="E9" s="124"/>
      <c r="F9" s="132"/>
      <c r="G9" s="133"/>
      <c r="H9" s="137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e">
        <f t="shared" si="3"/>
        <v>#N/A</v>
      </c>
    </row>
    <row r="10" spans="1:14" ht="45" customHeight="1">
      <c r="A10" s="135"/>
      <c r="B10" s="129"/>
      <c r="C10" s="136"/>
      <c r="D10" s="131"/>
      <c r="E10" s="124"/>
      <c r="F10" s="132"/>
      <c r="G10" s="133"/>
      <c r="H10" s="137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e">
        <f t="shared" si="3"/>
        <v>#N/A</v>
      </c>
    </row>
    <row r="11" spans="1:14" ht="45" customHeight="1">
      <c r="A11" s="135"/>
      <c r="B11" s="129"/>
      <c r="C11" s="136"/>
      <c r="D11" s="131"/>
      <c r="E11" s="124"/>
      <c r="F11" s="132"/>
      <c r="G11" s="133"/>
      <c r="H11" s="137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e">
        <f t="shared" si="3"/>
        <v>#N/A</v>
      </c>
    </row>
    <row r="12" spans="1:14" ht="45" customHeight="1">
      <c r="A12" s="135"/>
      <c r="B12" s="129"/>
      <c r="C12" s="136"/>
      <c r="D12" s="131"/>
      <c r="E12" s="124"/>
      <c r="F12" s="132"/>
      <c r="G12" s="133"/>
      <c r="H12" s="137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e">
        <f t="shared" si="3"/>
        <v>#N/A</v>
      </c>
    </row>
    <row r="13" spans="1:14" ht="45" customHeight="1">
      <c r="A13" s="135"/>
      <c r="B13" s="129"/>
      <c r="C13" s="136"/>
      <c r="D13" s="131"/>
      <c r="E13" s="124"/>
      <c r="F13" s="132"/>
      <c r="G13" s="133"/>
      <c r="H13" s="137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e">
        <f t="shared" si="3"/>
        <v>#N/A</v>
      </c>
    </row>
    <row r="14" spans="1:14" ht="45" customHeight="1">
      <c r="A14" s="135"/>
      <c r="B14" s="129"/>
      <c r="C14" s="136"/>
      <c r="D14" s="131"/>
      <c r="E14" s="124"/>
      <c r="F14" s="132"/>
      <c r="G14" s="133"/>
      <c r="H14" s="137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e">
        <f t="shared" si="3"/>
        <v>#N/A</v>
      </c>
    </row>
    <row r="15" spans="1:14" ht="45" customHeight="1">
      <c r="A15" s="135"/>
      <c r="B15" s="129"/>
      <c r="C15" s="136"/>
      <c r="D15" s="131"/>
      <c r="E15" s="124"/>
      <c r="F15" s="132"/>
      <c r="G15" s="133"/>
      <c r="H15" s="137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e">
        <f t="shared" si="3"/>
        <v>#N/A</v>
      </c>
    </row>
    <row r="16" spans="1:14" ht="45" customHeight="1">
      <c r="A16" s="135"/>
      <c r="B16" s="129"/>
      <c r="C16" s="136"/>
      <c r="D16" s="131"/>
      <c r="E16" s="124"/>
      <c r="F16" s="132"/>
      <c r="G16" s="133"/>
      <c r="H16" s="137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e">
        <f t="shared" si="3"/>
        <v>#N/A</v>
      </c>
    </row>
    <row r="17" spans="1:14" ht="45" customHeight="1">
      <c r="A17" s="135"/>
      <c r="B17" s="129"/>
      <c r="C17" s="136"/>
      <c r="D17" s="131"/>
      <c r="E17" s="124"/>
      <c r="F17" s="132"/>
      <c r="G17" s="133"/>
      <c r="H17" s="137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e">
        <f t="shared" si="3"/>
        <v>#N/A</v>
      </c>
    </row>
    <row r="18" spans="1:14" ht="45" customHeight="1">
      <c r="A18" s="138"/>
      <c r="B18" s="129"/>
      <c r="C18" s="139"/>
      <c r="D18" s="131"/>
      <c r="E18" s="124"/>
      <c r="F18" s="132"/>
      <c r="G18" s="133"/>
      <c r="H18" s="140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e">
        <f t="shared" si="3"/>
        <v>#N/A</v>
      </c>
    </row>
    <row r="19" spans="1:14" ht="45" customHeight="1">
      <c r="A19" s="135"/>
      <c r="B19" s="129"/>
      <c r="C19" s="136"/>
      <c r="D19" s="131"/>
      <c r="E19" s="124"/>
      <c r="F19" s="132"/>
      <c r="G19" s="133"/>
      <c r="H19" s="137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e">
        <f t="shared" si="3"/>
        <v>#N/A</v>
      </c>
    </row>
    <row r="20" spans="1:14" ht="45" customHeight="1">
      <c r="A20" s="135"/>
      <c r="B20" s="129"/>
      <c r="C20" s="136"/>
      <c r="D20" s="131"/>
      <c r="E20" s="124"/>
      <c r="F20" s="132"/>
      <c r="G20" s="133"/>
      <c r="H20" s="137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e">
        <f t="shared" si="3"/>
        <v>#N/A</v>
      </c>
    </row>
    <row r="21" spans="1:14" ht="45" customHeight="1">
      <c r="A21" s="135"/>
      <c r="B21" s="129"/>
      <c r="C21" s="136"/>
      <c r="D21" s="131"/>
      <c r="E21" s="124"/>
      <c r="F21" s="132"/>
      <c r="G21" s="133"/>
      <c r="H21" s="137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e">
        <f t="shared" si="3"/>
        <v>#N/A</v>
      </c>
    </row>
    <row r="22" spans="1:14" ht="45" customHeight="1">
      <c r="A22" s="135"/>
      <c r="B22" s="129"/>
      <c r="C22" s="136"/>
      <c r="D22" s="131"/>
      <c r="E22" s="124"/>
      <c r="F22" s="132"/>
      <c r="G22" s="133"/>
      <c r="H22" s="137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e">
        <f t="shared" si="3"/>
        <v>#N/A</v>
      </c>
    </row>
    <row r="23" spans="1:14" ht="45" customHeight="1">
      <c r="A23" s="135"/>
      <c r="B23" s="129"/>
      <c r="C23" s="136"/>
      <c r="D23" s="131"/>
      <c r="E23" s="124"/>
      <c r="F23" s="132"/>
      <c r="G23" s="133"/>
      <c r="H23" s="137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e">
        <f t="shared" si="3"/>
        <v>#N/A</v>
      </c>
    </row>
    <row r="24" spans="1:14" ht="45" customHeight="1">
      <c r="A24" s="135"/>
      <c r="B24" s="129"/>
      <c r="C24" s="136"/>
      <c r="D24" s="131"/>
      <c r="E24" s="124"/>
      <c r="F24" s="132"/>
      <c r="G24" s="133"/>
      <c r="H24" s="137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e">
        <f t="shared" si="3"/>
        <v>#N/A</v>
      </c>
    </row>
    <row r="25" spans="1:14" ht="45" customHeight="1">
      <c r="A25" s="135"/>
      <c r="B25" s="129"/>
      <c r="C25" s="136"/>
      <c r="D25" s="131"/>
      <c r="E25" s="124"/>
      <c r="F25" s="132"/>
      <c r="G25" s="133"/>
      <c r="H25" s="137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e">
        <f t="shared" si="3"/>
        <v>#N/A</v>
      </c>
    </row>
    <row r="26" spans="1:14" ht="45" customHeight="1">
      <c r="A26" s="135"/>
      <c r="B26" s="129"/>
      <c r="C26" s="136"/>
      <c r="D26" s="131"/>
      <c r="E26" s="124"/>
      <c r="F26" s="132"/>
      <c r="G26" s="133"/>
      <c r="H26" s="137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e">
        <f t="shared" si="3"/>
        <v>#N/A</v>
      </c>
    </row>
    <row r="27" spans="1:14" ht="45" customHeight="1">
      <c r="A27" s="135"/>
      <c r="B27" s="129"/>
      <c r="C27" s="136"/>
      <c r="D27" s="131"/>
      <c r="E27" s="124"/>
      <c r="F27" s="132"/>
      <c r="G27" s="133"/>
      <c r="H27" s="137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e">
        <f t="shared" si="3"/>
        <v>#N/A</v>
      </c>
    </row>
    <row r="28" spans="1:14" ht="45" customHeight="1">
      <c r="A28" s="135"/>
      <c r="B28" s="129"/>
      <c r="C28" s="136"/>
      <c r="D28" s="131"/>
      <c r="E28" s="124"/>
      <c r="F28" s="132"/>
      <c r="G28" s="133"/>
      <c r="H28" s="137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e">
        <f t="shared" si="3"/>
        <v>#N/A</v>
      </c>
    </row>
    <row r="29" spans="1:14" ht="45" customHeight="1">
      <c r="A29" s="135"/>
      <c r="B29" s="129"/>
      <c r="C29" s="136"/>
      <c r="D29" s="131"/>
      <c r="E29" s="124"/>
      <c r="F29" s="132"/>
      <c r="G29" s="133"/>
      <c r="H29" s="137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e">
        <f t="shared" si="3"/>
        <v>#N/A</v>
      </c>
    </row>
    <row r="30" spans="1:14" ht="45" customHeight="1">
      <c r="A30" s="135"/>
      <c r="B30" s="129"/>
      <c r="C30" s="136"/>
      <c r="D30" s="131"/>
      <c r="E30" s="124"/>
      <c r="F30" s="132"/>
      <c r="G30" s="133"/>
      <c r="H30" s="137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e">
        <f t="shared" si="3"/>
        <v>#N/A</v>
      </c>
    </row>
    <row r="31" spans="1:14" ht="45" customHeight="1">
      <c r="A31" s="135"/>
      <c r="B31" s="129"/>
      <c r="C31" s="136"/>
      <c r="D31" s="131"/>
      <c r="E31" s="124"/>
      <c r="F31" s="132"/>
      <c r="G31" s="133"/>
      <c r="H31" s="137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e">
        <f t="shared" si="3"/>
        <v>#N/A</v>
      </c>
    </row>
    <row r="32" spans="1:14" ht="45" customHeight="1">
      <c r="A32" s="135"/>
      <c r="B32" s="129"/>
      <c r="C32" s="136"/>
      <c r="D32" s="131"/>
      <c r="E32" s="124"/>
      <c r="F32" s="132"/>
      <c r="G32" s="133"/>
      <c r="H32" s="137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e">
        <f t="shared" si="3"/>
        <v>#N/A</v>
      </c>
    </row>
    <row r="33" spans="1:14" ht="45" customHeight="1">
      <c r="A33" s="135"/>
      <c r="B33" s="129"/>
      <c r="C33" s="136"/>
      <c r="D33" s="131"/>
      <c r="E33" s="124"/>
      <c r="F33" s="132"/>
      <c r="G33" s="133"/>
      <c r="H33" s="137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e">
        <f t="shared" si="3"/>
        <v>#N/A</v>
      </c>
    </row>
    <row r="34" spans="1:14" ht="45" customHeight="1">
      <c r="A34" s="135"/>
      <c r="B34" s="129"/>
      <c r="C34" s="136"/>
      <c r="D34" s="131"/>
      <c r="E34" s="126"/>
      <c r="F34" s="132"/>
      <c r="G34" s="133"/>
      <c r="H34" s="137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e">
        <f t="shared" si="3"/>
        <v>#N/A</v>
      </c>
    </row>
    <row r="35" spans="1:14" ht="45" customHeight="1">
      <c r="A35" s="135"/>
      <c r="B35" s="129"/>
      <c r="C35" s="136"/>
      <c r="D35" s="131"/>
      <c r="E35" s="126"/>
      <c r="F35" s="132"/>
      <c r="G35" s="133"/>
      <c r="H35" s="137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e">
        <f t="shared" si="3"/>
        <v>#N/A</v>
      </c>
    </row>
    <row r="36" spans="1:14" ht="45" customHeight="1">
      <c r="A36" s="135"/>
      <c r="B36" s="129"/>
      <c r="C36" s="136"/>
      <c r="D36" s="131"/>
      <c r="E36" s="126"/>
      <c r="F36" s="132"/>
      <c r="G36" s="133"/>
      <c r="H36" s="137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e">
        <f t="shared" si="3"/>
        <v>#N/A</v>
      </c>
    </row>
    <row r="37" spans="1:14" ht="45" customHeight="1">
      <c r="A37" s="135"/>
      <c r="B37" s="129"/>
      <c r="C37" s="136"/>
      <c r="D37" s="131"/>
      <c r="E37" s="126"/>
      <c r="F37" s="132"/>
      <c r="G37" s="133"/>
      <c r="H37" s="137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e">
        <f t="shared" si="3"/>
        <v>#N/A</v>
      </c>
    </row>
    <row r="38" spans="1:14" ht="45" customHeight="1">
      <c r="A38" s="135"/>
      <c r="B38" s="129"/>
      <c r="C38" s="136"/>
      <c r="D38" s="131"/>
      <c r="E38" s="126"/>
      <c r="F38" s="132"/>
      <c r="G38" s="133"/>
      <c r="H38" s="137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e">
        <f t="shared" si="3"/>
        <v>#N/A</v>
      </c>
    </row>
    <row r="39" spans="1:14" ht="45" customHeight="1">
      <c r="A39" s="135"/>
      <c r="B39" s="129"/>
      <c r="C39" s="136"/>
      <c r="D39" s="131"/>
      <c r="E39" s="126"/>
      <c r="F39" s="132"/>
      <c r="G39" s="133"/>
      <c r="H39" s="137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e">
        <f t="shared" si="3"/>
        <v>#N/A</v>
      </c>
    </row>
    <row r="40" spans="1:14" ht="45" customHeight="1">
      <c r="A40" s="135"/>
      <c r="B40" s="129"/>
      <c r="C40" s="136"/>
      <c r="D40" s="131"/>
      <c r="E40" s="126"/>
      <c r="F40" s="132"/>
      <c r="G40" s="133"/>
      <c r="H40" s="137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e">
        <f t="shared" si="3"/>
        <v>#N/A</v>
      </c>
    </row>
    <row r="41" spans="1:14" ht="45" customHeight="1">
      <c r="A41" s="135"/>
      <c r="B41" s="129"/>
      <c r="C41" s="136"/>
      <c r="D41" s="131"/>
      <c r="E41" s="126"/>
      <c r="F41" s="132"/>
      <c r="G41" s="133"/>
      <c r="H41" s="137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e">
        <f t="shared" si="3"/>
        <v>#N/A</v>
      </c>
    </row>
    <row r="42" spans="1:14" ht="45" customHeight="1">
      <c r="A42" s="135"/>
      <c r="B42" s="129"/>
      <c r="C42" s="136"/>
      <c r="D42" s="131"/>
      <c r="E42" s="126"/>
      <c r="F42" s="132"/>
      <c r="G42" s="133"/>
      <c r="H42" s="137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e">
        <f t="shared" si="3"/>
        <v>#N/A</v>
      </c>
    </row>
    <row r="43" spans="1:14" ht="45" customHeight="1">
      <c r="A43" s="135"/>
      <c r="B43" s="129"/>
      <c r="C43" s="136"/>
      <c r="D43" s="131"/>
      <c r="E43" s="126"/>
      <c r="F43" s="132"/>
      <c r="G43" s="133"/>
      <c r="H43" s="137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e">
        <f t="shared" si="3"/>
        <v>#N/A</v>
      </c>
    </row>
    <row r="44" spans="1:14" ht="45" customHeight="1">
      <c r="A44" s="135"/>
      <c r="B44" s="129"/>
      <c r="C44" s="136"/>
      <c r="D44" s="131"/>
      <c r="E44" s="126"/>
      <c r="F44" s="132"/>
      <c r="G44" s="133"/>
      <c r="H44" s="137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e">
        <f t="shared" si="3"/>
        <v>#N/A</v>
      </c>
    </row>
    <row r="45" spans="1:14" ht="45" customHeight="1">
      <c r="A45" s="135"/>
      <c r="B45" s="129"/>
      <c r="C45" s="136"/>
      <c r="D45" s="131"/>
      <c r="E45" s="126"/>
      <c r="F45" s="132"/>
      <c r="G45" s="133"/>
      <c r="H45" s="137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e">
        <f t="shared" si="3"/>
        <v>#N/A</v>
      </c>
    </row>
    <row r="46" spans="1:14" ht="45" customHeight="1">
      <c r="A46" s="135"/>
      <c r="B46" s="129"/>
      <c r="C46" s="136"/>
      <c r="D46" s="131"/>
      <c r="E46" s="126"/>
      <c r="F46" s="132"/>
      <c r="G46" s="133"/>
      <c r="H46" s="137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e">
        <f t="shared" si="3"/>
        <v>#N/A</v>
      </c>
    </row>
    <row r="47" spans="1:14" ht="45" customHeight="1">
      <c r="A47" s="135"/>
      <c r="B47" s="129"/>
      <c r="C47" s="136"/>
      <c r="D47" s="131"/>
      <c r="E47" s="126"/>
      <c r="F47" s="132"/>
      <c r="G47" s="133"/>
      <c r="H47" s="137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e">
        <f t="shared" si="3"/>
        <v>#N/A</v>
      </c>
    </row>
    <row r="48" spans="1:14" ht="45" customHeight="1">
      <c r="A48" s="135"/>
      <c r="B48" s="129"/>
      <c r="C48" s="136"/>
      <c r="D48" s="131"/>
      <c r="E48" s="126"/>
      <c r="F48" s="132"/>
      <c r="G48" s="133"/>
      <c r="H48" s="137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e">
        <f t="shared" si="3"/>
        <v>#N/A</v>
      </c>
    </row>
    <row r="49" spans="1:14" ht="45" customHeight="1">
      <c r="A49" s="135"/>
      <c r="B49" s="129"/>
      <c r="C49" s="136"/>
      <c r="D49" s="131"/>
      <c r="E49" s="126"/>
      <c r="F49" s="132"/>
      <c r="G49" s="133"/>
      <c r="H49" s="137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e">
        <f t="shared" si="3"/>
        <v>#N/A</v>
      </c>
    </row>
    <row r="50" spans="1:14" ht="45" customHeight="1">
      <c r="A50" s="135"/>
      <c r="B50" s="129"/>
      <c r="C50" s="136"/>
      <c r="D50" s="131"/>
      <c r="E50" s="126"/>
      <c r="F50" s="132"/>
      <c r="G50" s="133"/>
      <c r="H50" s="137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e">
        <f t="shared" si="3"/>
        <v>#N/A</v>
      </c>
    </row>
    <row r="51" spans="1:14" ht="45" customHeight="1">
      <c r="A51" s="135"/>
      <c r="B51" s="129"/>
      <c r="C51" s="136"/>
      <c r="D51" s="131"/>
      <c r="E51" s="126"/>
      <c r="F51" s="132"/>
      <c r="G51" s="133"/>
      <c r="H51" s="137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e">
        <f t="shared" si="3"/>
        <v>#N/A</v>
      </c>
    </row>
    <row r="52" spans="1:14" ht="45" customHeight="1">
      <c r="A52" s="135"/>
      <c r="B52" s="129"/>
      <c r="C52" s="136"/>
      <c r="D52" s="131"/>
      <c r="E52" s="126"/>
      <c r="F52" s="132"/>
      <c r="G52" s="133"/>
      <c r="H52" s="137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e">
        <f t="shared" si="3"/>
        <v>#N/A</v>
      </c>
    </row>
    <row r="53" spans="1:14" ht="45" customHeight="1">
      <c r="A53" s="135"/>
      <c r="B53" s="129"/>
      <c r="C53" s="136"/>
      <c r="D53" s="131"/>
      <c r="E53" s="126"/>
      <c r="F53" s="132"/>
      <c r="G53" s="133"/>
      <c r="H53" s="137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e">
        <f t="shared" si="3"/>
        <v>#N/A</v>
      </c>
    </row>
    <row r="54" spans="1:14" ht="45" customHeight="1">
      <c r="A54" s="135"/>
      <c r="B54" s="129"/>
      <c r="C54" s="136"/>
      <c r="D54" s="131"/>
      <c r="E54" s="126"/>
      <c r="F54" s="132"/>
      <c r="G54" s="133"/>
      <c r="H54" s="137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e">
        <f t="shared" si="3"/>
        <v>#N/A</v>
      </c>
    </row>
    <row r="55" spans="1:14" ht="45" customHeight="1">
      <c r="A55" s="135"/>
      <c r="B55" s="129"/>
      <c r="C55" s="136"/>
      <c r="D55" s="131"/>
      <c r="E55" s="126"/>
      <c r="F55" s="132"/>
      <c r="G55" s="133"/>
      <c r="H55" s="137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e">
        <f t="shared" si="3"/>
        <v>#N/A</v>
      </c>
    </row>
    <row r="56" spans="1:14" ht="45" customHeight="1">
      <c r="A56" s="135"/>
      <c r="B56" s="129"/>
      <c r="C56" s="136"/>
      <c r="D56" s="131"/>
      <c r="E56" s="126"/>
      <c r="F56" s="132"/>
      <c r="G56" s="133"/>
      <c r="H56" s="137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e">
        <f t="shared" si="3"/>
        <v>#N/A</v>
      </c>
    </row>
    <row r="57" spans="1:14" ht="45" customHeight="1">
      <c r="A57" s="135"/>
      <c r="B57" s="129"/>
      <c r="C57" s="136"/>
      <c r="D57" s="131"/>
      <c r="E57" s="126"/>
      <c r="F57" s="132"/>
      <c r="G57" s="133"/>
      <c r="H57" s="137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e">
        <f t="shared" si="3"/>
        <v>#N/A</v>
      </c>
    </row>
    <row r="58" spans="1:14" ht="45" customHeight="1">
      <c r="A58" s="135"/>
      <c r="B58" s="129"/>
      <c r="C58" s="136"/>
      <c r="D58" s="131"/>
      <c r="E58" s="126"/>
      <c r="F58" s="132"/>
      <c r="G58" s="133"/>
      <c r="H58" s="137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e">
        <f t="shared" si="3"/>
        <v>#N/A</v>
      </c>
    </row>
    <row r="59" spans="1:14" ht="45" customHeight="1">
      <c r="A59" s="135"/>
      <c r="B59" s="129"/>
      <c r="C59" s="136"/>
      <c r="D59" s="131"/>
      <c r="E59" s="126"/>
      <c r="F59" s="132"/>
      <c r="G59" s="133"/>
      <c r="H59" s="137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e">
        <f t="shared" si="3"/>
        <v>#N/A</v>
      </c>
    </row>
    <row r="60" spans="1:14" ht="45" customHeight="1">
      <c r="A60" s="135"/>
      <c r="B60" s="129"/>
      <c r="C60" s="136"/>
      <c r="D60" s="131"/>
      <c r="E60" s="126"/>
      <c r="F60" s="132"/>
      <c r="G60" s="133"/>
      <c r="H60" s="137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e">
        <f t="shared" si="3"/>
        <v>#N/A</v>
      </c>
    </row>
    <row r="61" spans="1:14" ht="45" customHeight="1">
      <c r="A61" s="135"/>
      <c r="B61" s="129"/>
      <c r="C61" s="136"/>
      <c r="D61" s="131"/>
      <c r="E61" s="126"/>
      <c r="F61" s="132"/>
      <c r="G61" s="133"/>
      <c r="H61" s="137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e">
        <f t="shared" si="3"/>
        <v>#N/A</v>
      </c>
    </row>
    <row r="62" spans="1:14" ht="45" customHeight="1">
      <c r="A62" s="135"/>
      <c r="B62" s="129"/>
      <c r="C62" s="136"/>
      <c r="D62" s="131"/>
      <c r="E62" s="126"/>
      <c r="F62" s="132"/>
      <c r="G62" s="133"/>
      <c r="H62" s="137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e">
        <f t="shared" si="3"/>
        <v>#N/A</v>
      </c>
    </row>
    <row r="63" spans="1:14" ht="45" customHeight="1">
      <c r="A63" s="135"/>
      <c r="B63" s="129"/>
      <c r="C63" s="136"/>
      <c r="D63" s="131"/>
      <c r="E63" s="126"/>
      <c r="F63" s="132"/>
      <c r="G63" s="133"/>
      <c r="H63" s="137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e">
        <f t="shared" si="3"/>
        <v>#N/A</v>
      </c>
    </row>
    <row r="64" spans="1:14" ht="45" customHeight="1">
      <c r="A64" s="135"/>
      <c r="B64" s="129"/>
      <c r="C64" s="136"/>
      <c r="D64" s="131"/>
      <c r="E64" s="126"/>
      <c r="F64" s="132"/>
      <c r="G64" s="133"/>
      <c r="H64" s="137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e">
        <f t="shared" si="3"/>
        <v>#N/A</v>
      </c>
    </row>
    <row r="65" spans="1:14" ht="45" customHeight="1">
      <c r="A65" s="135"/>
      <c r="B65" s="129"/>
      <c r="C65" s="136"/>
      <c r="D65" s="131"/>
      <c r="E65" s="126"/>
      <c r="F65" s="132"/>
      <c r="G65" s="133"/>
      <c r="H65" s="137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e">
        <f t="shared" si="3"/>
        <v>#N/A</v>
      </c>
    </row>
    <row r="66" spans="1:14" ht="45" customHeight="1">
      <c r="A66" s="135"/>
      <c r="B66" s="129"/>
      <c r="C66" s="136"/>
      <c r="D66" s="131"/>
      <c r="E66" s="126"/>
      <c r="F66" s="132"/>
      <c r="G66" s="133"/>
      <c r="H66" s="137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e">
        <f t="shared" si="3"/>
        <v>#N/A</v>
      </c>
    </row>
    <row r="67" spans="1:14" ht="45" customHeight="1">
      <c r="A67" s="135"/>
      <c r="B67" s="129"/>
      <c r="C67" s="136"/>
      <c r="D67" s="131"/>
      <c r="E67" s="126"/>
      <c r="F67" s="132"/>
      <c r="G67" s="133"/>
      <c r="H67" s="137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e">
        <f t="shared" si="3"/>
        <v>#N/A</v>
      </c>
    </row>
    <row r="68" spans="1:14" ht="45" customHeight="1">
      <c r="A68" s="135"/>
      <c r="B68" s="129"/>
      <c r="C68" s="136"/>
      <c r="D68" s="131"/>
      <c r="E68" s="126"/>
      <c r="F68" s="132"/>
      <c r="G68" s="133"/>
      <c r="H68" s="137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e">
        <f t="shared" ref="N68:N131" si="8">AND($M$1="Flat Rate",M68="Staff_Costs")</f>
        <v>#N/A</v>
      </c>
    </row>
    <row r="69" spans="1:14" ht="45" customHeight="1">
      <c r="A69" s="135"/>
      <c r="B69" s="129"/>
      <c r="C69" s="136"/>
      <c r="D69" s="131"/>
      <c r="E69" s="126"/>
      <c r="F69" s="132"/>
      <c r="G69" s="133"/>
      <c r="H69" s="137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e">
        <f t="shared" si="8"/>
        <v>#N/A</v>
      </c>
    </row>
    <row r="70" spans="1:14" ht="45" customHeight="1">
      <c r="A70" s="135"/>
      <c r="B70" s="129"/>
      <c r="C70" s="136"/>
      <c r="D70" s="131"/>
      <c r="E70" s="126"/>
      <c r="F70" s="132"/>
      <c r="G70" s="133"/>
      <c r="H70" s="137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e">
        <f t="shared" si="8"/>
        <v>#N/A</v>
      </c>
    </row>
    <row r="71" spans="1:14" ht="45" customHeight="1">
      <c r="A71" s="135"/>
      <c r="B71" s="129"/>
      <c r="C71" s="136"/>
      <c r="D71" s="131"/>
      <c r="E71" s="126"/>
      <c r="F71" s="132"/>
      <c r="G71" s="133"/>
      <c r="H71" s="137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e">
        <f t="shared" si="8"/>
        <v>#N/A</v>
      </c>
    </row>
    <row r="72" spans="1:14" ht="45" customHeight="1">
      <c r="A72" s="135"/>
      <c r="B72" s="129"/>
      <c r="C72" s="136"/>
      <c r="D72" s="131"/>
      <c r="E72" s="126"/>
      <c r="F72" s="132"/>
      <c r="G72" s="133"/>
      <c r="H72" s="137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e">
        <f t="shared" si="8"/>
        <v>#N/A</v>
      </c>
    </row>
    <row r="73" spans="1:14" ht="45" customHeight="1">
      <c r="A73" s="135"/>
      <c r="B73" s="129"/>
      <c r="C73" s="136"/>
      <c r="D73" s="131"/>
      <c r="E73" s="126"/>
      <c r="F73" s="132"/>
      <c r="G73" s="133"/>
      <c r="H73" s="137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e">
        <f t="shared" si="8"/>
        <v>#N/A</v>
      </c>
    </row>
    <row r="74" spans="1:14" ht="45" customHeight="1">
      <c r="A74" s="135"/>
      <c r="B74" s="129"/>
      <c r="C74" s="136"/>
      <c r="D74" s="131"/>
      <c r="E74" s="126"/>
      <c r="F74" s="132"/>
      <c r="G74" s="133"/>
      <c r="H74" s="137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e">
        <f t="shared" si="8"/>
        <v>#N/A</v>
      </c>
    </row>
    <row r="75" spans="1:14" ht="45" customHeight="1">
      <c r="A75" s="135"/>
      <c r="B75" s="129"/>
      <c r="C75" s="136"/>
      <c r="D75" s="131"/>
      <c r="E75" s="126"/>
      <c r="F75" s="132"/>
      <c r="G75" s="133"/>
      <c r="H75" s="137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e">
        <f t="shared" si="8"/>
        <v>#N/A</v>
      </c>
    </row>
    <row r="76" spans="1:14" ht="45" customHeight="1">
      <c r="A76" s="135"/>
      <c r="B76" s="129"/>
      <c r="C76" s="136"/>
      <c r="D76" s="131"/>
      <c r="E76" s="126"/>
      <c r="F76" s="132"/>
      <c r="G76" s="133"/>
      <c r="H76" s="137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e">
        <f t="shared" si="8"/>
        <v>#N/A</v>
      </c>
    </row>
    <row r="77" spans="1:14" ht="45" customHeight="1">
      <c r="A77" s="135"/>
      <c r="B77" s="129"/>
      <c r="C77" s="136"/>
      <c r="D77" s="131"/>
      <c r="E77" s="126"/>
      <c r="F77" s="132"/>
      <c r="G77" s="133"/>
      <c r="H77" s="137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e">
        <f t="shared" si="8"/>
        <v>#N/A</v>
      </c>
    </row>
    <row r="78" spans="1:14" ht="45" customHeight="1">
      <c r="A78" s="135"/>
      <c r="B78" s="129"/>
      <c r="C78" s="136"/>
      <c r="D78" s="131"/>
      <c r="E78" s="126"/>
      <c r="F78" s="132"/>
      <c r="G78" s="133"/>
      <c r="H78" s="137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e">
        <f t="shared" si="8"/>
        <v>#N/A</v>
      </c>
    </row>
    <row r="79" spans="1:14" ht="45" customHeight="1">
      <c r="A79" s="135"/>
      <c r="B79" s="129"/>
      <c r="C79" s="136"/>
      <c r="D79" s="131"/>
      <c r="E79" s="126"/>
      <c r="F79" s="132"/>
      <c r="G79" s="133"/>
      <c r="H79" s="137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e">
        <f t="shared" si="8"/>
        <v>#N/A</v>
      </c>
    </row>
    <row r="80" spans="1:14" ht="45" customHeight="1">
      <c r="A80" s="135"/>
      <c r="B80" s="129"/>
      <c r="C80" s="136"/>
      <c r="D80" s="131"/>
      <c r="E80" s="126"/>
      <c r="F80" s="132"/>
      <c r="G80" s="133"/>
      <c r="H80" s="137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e">
        <f t="shared" si="8"/>
        <v>#N/A</v>
      </c>
    </row>
    <row r="81" spans="1:14" ht="45" customHeight="1">
      <c r="A81" s="135"/>
      <c r="B81" s="129"/>
      <c r="C81" s="136"/>
      <c r="D81" s="131"/>
      <c r="E81" s="126"/>
      <c r="F81" s="132"/>
      <c r="G81" s="133"/>
      <c r="H81" s="137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e">
        <f t="shared" si="8"/>
        <v>#N/A</v>
      </c>
    </row>
    <row r="82" spans="1:14" ht="45" customHeight="1">
      <c r="A82" s="135"/>
      <c r="B82" s="129"/>
      <c r="C82" s="136"/>
      <c r="D82" s="131"/>
      <c r="E82" s="126"/>
      <c r="F82" s="132"/>
      <c r="G82" s="133"/>
      <c r="H82" s="137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e">
        <f t="shared" si="8"/>
        <v>#N/A</v>
      </c>
    </row>
    <row r="83" spans="1:14" ht="45" customHeight="1">
      <c r="A83" s="135"/>
      <c r="B83" s="129"/>
      <c r="C83" s="136"/>
      <c r="D83" s="131"/>
      <c r="E83" s="126"/>
      <c r="F83" s="132"/>
      <c r="G83" s="133"/>
      <c r="H83" s="137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e">
        <f t="shared" si="8"/>
        <v>#N/A</v>
      </c>
    </row>
    <row r="84" spans="1:14" ht="45" customHeight="1">
      <c r="A84" s="135"/>
      <c r="B84" s="129"/>
      <c r="C84" s="136"/>
      <c r="D84" s="131"/>
      <c r="E84" s="126"/>
      <c r="F84" s="132"/>
      <c r="G84" s="133"/>
      <c r="H84" s="137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e">
        <f t="shared" si="8"/>
        <v>#N/A</v>
      </c>
    </row>
    <row r="85" spans="1:14" ht="45" customHeight="1">
      <c r="A85" s="135"/>
      <c r="B85" s="129"/>
      <c r="C85" s="136"/>
      <c r="D85" s="131"/>
      <c r="E85" s="126"/>
      <c r="F85" s="132"/>
      <c r="G85" s="133"/>
      <c r="H85" s="137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e">
        <f t="shared" si="8"/>
        <v>#N/A</v>
      </c>
    </row>
    <row r="86" spans="1:14" ht="45" customHeight="1">
      <c r="A86" s="135"/>
      <c r="B86" s="129"/>
      <c r="C86" s="136"/>
      <c r="D86" s="131"/>
      <c r="E86" s="126"/>
      <c r="F86" s="132"/>
      <c r="G86" s="133"/>
      <c r="H86" s="137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e">
        <f t="shared" si="8"/>
        <v>#N/A</v>
      </c>
    </row>
    <row r="87" spans="1:14" ht="45" customHeight="1">
      <c r="A87" s="135"/>
      <c r="B87" s="129"/>
      <c r="C87" s="136"/>
      <c r="D87" s="131"/>
      <c r="E87" s="126"/>
      <c r="F87" s="132"/>
      <c r="G87" s="133"/>
      <c r="H87" s="137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e">
        <f t="shared" si="8"/>
        <v>#N/A</v>
      </c>
    </row>
    <row r="88" spans="1:14" ht="45" customHeight="1">
      <c r="A88" s="135"/>
      <c r="B88" s="129"/>
      <c r="C88" s="136"/>
      <c r="D88" s="131"/>
      <c r="E88" s="126"/>
      <c r="F88" s="132"/>
      <c r="G88" s="133"/>
      <c r="H88" s="137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e">
        <f t="shared" si="8"/>
        <v>#N/A</v>
      </c>
    </row>
    <row r="89" spans="1:14" ht="45" customHeight="1">
      <c r="A89" s="135"/>
      <c r="B89" s="129"/>
      <c r="C89" s="136"/>
      <c r="D89" s="131"/>
      <c r="E89" s="126"/>
      <c r="F89" s="132"/>
      <c r="G89" s="133"/>
      <c r="H89" s="137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e">
        <f t="shared" si="8"/>
        <v>#N/A</v>
      </c>
    </row>
    <row r="90" spans="1:14" ht="45" customHeight="1">
      <c r="A90" s="135"/>
      <c r="B90" s="129"/>
      <c r="C90" s="136"/>
      <c r="D90" s="131"/>
      <c r="E90" s="126"/>
      <c r="F90" s="132"/>
      <c r="G90" s="133"/>
      <c r="H90" s="137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e">
        <f t="shared" si="8"/>
        <v>#N/A</v>
      </c>
    </row>
    <row r="91" spans="1:14" ht="45" customHeight="1">
      <c r="A91" s="135"/>
      <c r="B91" s="129"/>
      <c r="C91" s="136"/>
      <c r="D91" s="131"/>
      <c r="E91" s="126"/>
      <c r="F91" s="132"/>
      <c r="G91" s="133"/>
      <c r="H91" s="137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e">
        <f t="shared" si="8"/>
        <v>#N/A</v>
      </c>
    </row>
    <row r="92" spans="1:14" ht="45" customHeight="1">
      <c r="A92" s="135"/>
      <c r="B92" s="129"/>
      <c r="C92" s="136"/>
      <c r="D92" s="131"/>
      <c r="E92" s="126"/>
      <c r="F92" s="132"/>
      <c r="G92" s="133"/>
      <c r="H92" s="137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e">
        <f t="shared" si="8"/>
        <v>#N/A</v>
      </c>
    </row>
    <row r="93" spans="1:14" ht="45" customHeight="1">
      <c r="A93" s="135"/>
      <c r="B93" s="129"/>
      <c r="C93" s="136"/>
      <c r="D93" s="131"/>
      <c r="E93" s="126"/>
      <c r="F93" s="132"/>
      <c r="G93" s="133"/>
      <c r="H93" s="137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e">
        <f t="shared" si="8"/>
        <v>#N/A</v>
      </c>
    </row>
    <row r="94" spans="1:14" ht="45" customHeight="1">
      <c r="A94" s="135"/>
      <c r="B94" s="129"/>
      <c r="C94" s="136"/>
      <c r="D94" s="131"/>
      <c r="E94" s="126"/>
      <c r="F94" s="132"/>
      <c r="G94" s="133"/>
      <c r="H94" s="137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e">
        <f t="shared" si="8"/>
        <v>#N/A</v>
      </c>
    </row>
    <row r="95" spans="1:14" ht="45" customHeight="1">
      <c r="A95" s="135"/>
      <c r="B95" s="129"/>
      <c r="C95" s="136"/>
      <c r="D95" s="131"/>
      <c r="E95" s="126"/>
      <c r="F95" s="132"/>
      <c r="G95" s="133"/>
      <c r="H95" s="137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e">
        <f t="shared" si="8"/>
        <v>#N/A</v>
      </c>
    </row>
    <row r="96" spans="1:14" ht="45" customHeight="1">
      <c r="A96" s="135"/>
      <c r="B96" s="129"/>
      <c r="C96" s="136"/>
      <c r="D96" s="131"/>
      <c r="E96" s="126"/>
      <c r="F96" s="132"/>
      <c r="G96" s="133"/>
      <c r="H96" s="137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e">
        <f t="shared" si="8"/>
        <v>#N/A</v>
      </c>
    </row>
    <row r="97" spans="1:14" ht="45" customHeight="1">
      <c r="A97" s="135"/>
      <c r="B97" s="129"/>
      <c r="C97" s="136"/>
      <c r="D97" s="131"/>
      <c r="E97" s="126"/>
      <c r="F97" s="132"/>
      <c r="G97" s="133"/>
      <c r="H97" s="137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e">
        <f t="shared" si="8"/>
        <v>#N/A</v>
      </c>
    </row>
    <row r="98" spans="1:14" ht="45" customHeight="1">
      <c r="A98" s="135"/>
      <c r="B98" s="129"/>
      <c r="C98" s="136"/>
      <c r="D98" s="131"/>
      <c r="E98" s="126"/>
      <c r="F98" s="132"/>
      <c r="G98" s="133"/>
      <c r="H98" s="137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e">
        <f t="shared" si="8"/>
        <v>#N/A</v>
      </c>
    </row>
    <row r="99" spans="1:14" ht="45" customHeight="1">
      <c r="A99" s="135"/>
      <c r="B99" s="129"/>
      <c r="C99" s="136"/>
      <c r="D99" s="131"/>
      <c r="E99" s="126"/>
      <c r="F99" s="132"/>
      <c r="G99" s="133"/>
      <c r="H99" s="137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e">
        <f t="shared" si="8"/>
        <v>#N/A</v>
      </c>
    </row>
    <row r="100" spans="1:14" ht="45" customHeight="1">
      <c r="A100" s="135"/>
      <c r="B100" s="129"/>
      <c r="C100" s="136"/>
      <c r="D100" s="131"/>
      <c r="E100" s="126"/>
      <c r="F100" s="132"/>
      <c r="G100" s="133"/>
      <c r="H100" s="137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e">
        <f t="shared" si="8"/>
        <v>#N/A</v>
      </c>
    </row>
    <row r="101" spans="1:14" ht="45" customHeight="1">
      <c r="A101" s="135"/>
      <c r="B101" s="129"/>
      <c r="C101" s="136"/>
      <c r="D101" s="131"/>
      <c r="E101" s="126"/>
      <c r="F101" s="132"/>
      <c r="G101" s="133"/>
      <c r="H101" s="137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e">
        <f t="shared" si="8"/>
        <v>#N/A</v>
      </c>
    </row>
    <row r="102" spans="1:14" ht="45" customHeight="1">
      <c r="A102" s="135"/>
      <c r="B102" s="129"/>
      <c r="C102" s="136"/>
      <c r="D102" s="131"/>
      <c r="E102" s="126"/>
      <c r="F102" s="132"/>
      <c r="G102" s="133"/>
      <c r="H102" s="137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e">
        <f t="shared" si="8"/>
        <v>#N/A</v>
      </c>
    </row>
    <row r="103" spans="1:14" ht="45" customHeight="1">
      <c r="A103" s="135"/>
      <c r="B103" s="129"/>
      <c r="C103" s="136"/>
      <c r="D103" s="131"/>
      <c r="E103" s="126"/>
      <c r="F103" s="132"/>
      <c r="G103" s="133"/>
      <c r="H103" s="137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e">
        <f t="shared" si="8"/>
        <v>#N/A</v>
      </c>
    </row>
    <row r="104" spans="1:14" ht="45" customHeight="1">
      <c r="A104" s="135"/>
      <c r="B104" s="129"/>
      <c r="C104" s="136"/>
      <c r="D104" s="131"/>
      <c r="E104" s="126"/>
      <c r="F104" s="132"/>
      <c r="G104" s="133"/>
      <c r="H104" s="137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e">
        <f t="shared" si="8"/>
        <v>#N/A</v>
      </c>
    </row>
    <row r="105" spans="1:14" ht="45" customHeight="1">
      <c r="A105" s="135"/>
      <c r="B105" s="129"/>
      <c r="C105" s="136"/>
      <c r="D105" s="131"/>
      <c r="E105" s="126"/>
      <c r="F105" s="132"/>
      <c r="G105" s="133"/>
      <c r="H105" s="137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e">
        <f t="shared" si="8"/>
        <v>#N/A</v>
      </c>
    </row>
    <row r="106" spans="1:14" ht="45" customHeight="1">
      <c r="A106" s="135"/>
      <c r="B106" s="129"/>
      <c r="C106" s="136"/>
      <c r="D106" s="131"/>
      <c r="E106" s="126"/>
      <c r="F106" s="132"/>
      <c r="G106" s="133"/>
      <c r="H106" s="137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e">
        <f t="shared" si="8"/>
        <v>#N/A</v>
      </c>
    </row>
    <row r="107" spans="1:14" ht="45" customHeight="1">
      <c r="A107" s="135"/>
      <c r="B107" s="129"/>
      <c r="C107" s="136"/>
      <c r="D107" s="131"/>
      <c r="E107" s="126"/>
      <c r="F107" s="132"/>
      <c r="G107" s="133"/>
      <c r="H107" s="137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e">
        <f t="shared" si="8"/>
        <v>#N/A</v>
      </c>
    </row>
    <row r="108" spans="1:14" ht="45" customHeight="1">
      <c r="A108" s="135"/>
      <c r="B108" s="129"/>
      <c r="C108" s="136"/>
      <c r="D108" s="131"/>
      <c r="E108" s="126"/>
      <c r="F108" s="132"/>
      <c r="G108" s="133"/>
      <c r="H108" s="137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e">
        <f t="shared" si="8"/>
        <v>#N/A</v>
      </c>
    </row>
    <row r="109" spans="1:14" ht="45" customHeight="1">
      <c r="A109" s="135"/>
      <c r="B109" s="129"/>
      <c r="C109" s="136"/>
      <c r="D109" s="131"/>
      <c r="E109" s="126"/>
      <c r="F109" s="132"/>
      <c r="G109" s="133"/>
      <c r="H109" s="137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e">
        <f t="shared" si="8"/>
        <v>#N/A</v>
      </c>
    </row>
    <row r="110" spans="1:14" ht="45" customHeight="1">
      <c r="A110" s="135"/>
      <c r="B110" s="129"/>
      <c r="C110" s="136"/>
      <c r="D110" s="131"/>
      <c r="E110" s="126"/>
      <c r="F110" s="132"/>
      <c r="G110" s="133"/>
      <c r="H110" s="137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e">
        <f t="shared" si="8"/>
        <v>#N/A</v>
      </c>
    </row>
    <row r="111" spans="1:14" ht="45" customHeight="1">
      <c r="A111" s="135"/>
      <c r="B111" s="129"/>
      <c r="C111" s="136"/>
      <c r="D111" s="131"/>
      <c r="E111" s="126"/>
      <c r="F111" s="132"/>
      <c r="G111" s="133"/>
      <c r="H111" s="137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e">
        <f t="shared" si="8"/>
        <v>#N/A</v>
      </c>
    </row>
    <row r="112" spans="1:14" ht="45" customHeight="1">
      <c r="A112" s="135"/>
      <c r="B112" s="129"/>
      <c r="C112" s="136"/>
      <c r="D112" s="131"/>
      <c r="E112" s="126"/>
      <c r="F112" s="132"/>
      <c r="G112" s="133"/>
      <c r="H112" s="137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e">
        <f t="shared" si="8"/>
        <v>#N/A</v>
      </c>
    </row>
    <row r="113" spans="1:14" ht="45" customHeight="1">
      <c r="A113" s="135"/>
      <c r="B113" s="129"/>
      <c r="C113" s="136"/>
      <c r="D113" s="131"/>
      <c r="E113" s="126"/>
      <c r="F113" s="132"/>
      <c r="G113" s="133"/>
      <c r="H113" s="137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e">
        <f t="shared" si="8"/>
        <v>#N/A</v>
      </c>
    </row>
    <row r="114" spans="1:14" ht="45" customHeight="1">
      <c r="A114" s="135"/>
      <c r="B114" s="129"/>
      <c r="C114" s="136"/>
      <c r="D114" s="131"/>
      <c r="E114" s="126"/>
      <c r="F114" s="132"/>
      <c r="G114" s="133"/>
      <c r="H114" s="137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e">
        <f t="shared" si="8"/>
        <v>#N/A</v>
      </c>
    </row>
    <row r="115" spans="1:14" ht="45" customHeight="1">
      <c r="A115" s="135"/>
      <c r="B115" s="129"/>
      <c r="C115" s="136"/>
      <c r="D115" s="131"/>
      <c r="E115" s="126"/>
      <c r="F115" s="132"/>
      <c r="G115" s="133"/>
      <c r="H115" s="137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e">
        <f t="shared" si="8"/>
        <v>#N/A</v>
      </c>
    </row>
    <row r="116" spans="1:14" ht="45" customHeight="1">
      <c r="A116" s="135"/>
      <c r="B116" s="129"/>
      <c r="C116" s="136"/>
      <c r="D116" s="131"/>
      <c r="E116" s="126"/>
      <c r="F116" s="132"/>
      <c r="G116" s="133"/>
      <c r="H116" s="137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e">
        <f t="shared" si="8"/>
        <v>#N/A</v>
      </c>
    </row>
    <row r="117" spans="1:14" ht="45" customHeight="1">
      <c r="A117" s="135"/>
      <c r="B117" s="129"/>
      <c r="C117" s="136"/>
      <c r="D117" s="131"/>
      <c r="E117" s="126"/>
      <c r="F117" s="132"/>
      <c r="G117" s="133"/>
      <c r="H117" s="137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e">
        <f t="shared" si="8"/>
        <v>#N/A</v>
      </c>
    </row>
    <row r="118" spans="1:14" ht="45" customHeight="1">
      <c r="A118" s="135"/>
      <c r="B118" s="129"/>
      <c r="C118" s="136"/>
      <c r="D118" s="131"/>
      <c r="E118" s="126"/>
      <c r="F118" s="132"/>
      <c r="G118" s="133"/>
      <c r="H118" s="137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e">
        <f t="shared" si="8"/>
        <v>#N/A</v>
      </c>
    </row>
    <row r="119" spans="1:14" ht="45" customHeight="1">
      <c r="A119" s="135"/>
      <c r="B119" s="129"/>
      <c r="C119" s="136"/>
      <c r="D119" s="131"/>
      <c r="E119" s="126"/>
      <c r="F119" s="132"/>
      <c r="G119" s="133"/>
      <c r="H119" s="137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e">
        <f t="shared" si="8"/>
        <v>#N/A</v>
      </c>
    </row>
    <row r="120" spans="1:14" ht="45" customHeight="1">
      <c r="A120" s="135"/>
      <c r="B120" s="129"/>
      <c r="C120" s="136"/>
      <c r="D120" s="131"/>
      <c r="E120" s="126"/>
      <c r="F120" s="132"/>
      <c r="G120" s="133"/>
      <c r="H120" s="137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e">
        <f t="shared" si="8"/>
        <v>#N/A</v>
      </c>
    </row>
    <row r="121" spans="1:14" ht="45" customHeight="1">
      <c r="A121" s="135"/>
      <c r="B121" s="129"/>
      <c r="C121" s="136"/>
      <c r="D121" s="131"/>
      <c r="E121" s="126"/>
      <c r="F121" s="132"/>
      <c r="G121" s="133"/>
      <c r="H121" s="137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e">
        <f t="shared" si="8"/>
        <v>#N/A</v>
      </c>
    </row>
    <row r="122" spans="1:14" ht="45" customHeight="1">
      <c r="A122" s="135"/>
      <c r="B122" s="129"/>
      <c r="C122" s="136"/>
      <c r="D122" s="131"/>
      <c r="E122" s="126"/>
      <c r="F122" s="132"/>
      <c r="G122" s="133"/>
      <c r="H122" s="137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e">
        <f t="shared" si="8"/>
        <v>#N/A</v>
      </c>
    </row>
    <row r="123" spans="1:14" ht="45" customHeight="1">
      <c r="A123" s="135"/>
      <c r="B123" s="129"/>
      <c r="C123" s="136"/>
      <c r="D123" s="131"/>
      <c r="E123" s="126"/>
      <c r="F123" s="132"/>
      <c r="G123" s="133"/>
      <c r="H123" s="137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e">
        <f t="shared" si="8"/>
        <v>#N/A</v>
      </c>
    </row>
    <row r="124" spans="1:14" ht="45" customHeight="1">
      <c r="A124" s="135"/>
      <c r="B124" s="129"/>
      <c r="C124" s="136"/>
      <c r="D124" s="131"/>
      <c r="E124" s="126"/>
      <c r="F124" s="132"/>
      <c r="G124" s="133"/>
      <c r="H124" s="137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e">
        <f t="shared" si="8"/>
        <v>#N/A</v>
      </c>
    </row>
    <row r="125" spans="1:14" ht="45" customHeight="1">
      <c r="A125" s="135"/>
      <c r="B125" s="129"/>
      <c r="C125" s="136"/>
      <c r="D125" s="131"/>
      <c r="E125" s="126"/>
      <c r="F125" s="132"/>
      <c r="G125" s="133"/>
      <c r="H125" s="137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e">
        <f t="shared" si="8"/>
        <v>#N/A</v>
      </c>
    </row>
    <row r="126" spans="1:14" ht="45" customHeight="1">
      <c r="A126" s="135"/>
      <c r="B126" s="129"/>
      <c r="C126" s="136"/>
      <c r="D126" s="131"/>
      <c r="E126" s="126"/>
      <c r="F126" s="132"/>
      <c r="G126" s="133"/>
      <c r="H126" s="137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e">
        <f t="shared" si="8"/>
        <v>#N/A</v>
      </c>
    </row>
    <row r="127" spans="1:14" ht="45" customHeight="1">
      <c r="A127" s="135"/>
      <c r="B127" s="129"/>
      <c r="C127" s="136"/>
      <c r="D127" s="131"/>
      <c r="E127" s="126"/>
      <c r="F127" s="132"/>
      <c r="G127" s="133"/>
      <c r="H127" s="137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e">
        <f t="shared" si="8"/>
        <v>#N/A</v>
      </c>
    </row>
    <row r="128" spans="1:14" ht="45" customHeight="1">
      <c r="A128" s="135"/>
      <c r="B128" s="129"/>
      <c r="C128" s="136"/>
      <c r="D128" s="131"/>
      <c r="E128" s="126"/>
      <c r="F128" s="132"/>
      <c r="G128" s="133"/>
      <c r="H128" s="137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e">
        <f t="shared" si="8"/>
        <v>#N/A</v>
      </c>
    </row>
    <row r="129" spans="1:14" ht="45" customHeight="1">
      <c r="A129" s="135"/>
      <c r="B129" s="129"/>
      <c r="C129" s="136"/>
      <c r="D129" s="131"/>
      <c r="E129" s="126"/>
      <c r="F129" s="132"/>
      <c r="G129" s="133"/>
      <c r="H129" s="137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e">
        <f t="shared" si="8"/>
        <v>#N/A</v>
      </c>
    </row>
    <row r="130" spans="1:14" ht="45" customHeight="1">
      <c r="A130" s="135"/>
      <c r="B130" s="129"/>
      <c r="C130" s="136"/>
      <c r="D130" s="131"/>
      <c r="E130" s="126"/>
      <c r="F130" s="132"/>
      <c r="G130" s="133"/>
      <c r="H130" s="137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e">
        <f t="shared" si="8"/>
        <v>#N/A</v>
      </c>
    </row>
    <row r="131" spans="1:14" ht="45" customHeight="1">
      <c r="A131" s="135"/>
      <c r="B131" s="129"/>
      <c r="C131" s="136"/>
      <c r="D131" s="131"/>
      <c r="E131" s="126"/>
      <c r="F131" s="132"/>
      <c r="G131" s="133"/>
      <c r="H131" s="137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e">
        <f t="shared" si="8"/>
        <v>#N/A</v>
      </c>
    </row>
    <row r="132" spans="1:14" ht="45" customHeight="1">
      <c r="A132" s="135"/>
      <c r="B132" s="129"/>
      <c r="C132" s="136"/>
      <c r="D132" s="131"/>
      <c r="E132" s="126"/>
      <c r="F132" s="132"/>
      <c r="G132" s="133"/>
      <c r="H132" s="137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e">
        <f t="shared" ref="N132:N195" si="13">AND($M$1="Flat Rate",M132="Staff_Costs")</f>
        <v>#N/A</v>
      </c>
    </row>
    <row r="133" spans="1:14" ht="45" customHeight="1">
      <c r="A133" s="135"/>
      <c r="B133" s="129"/>
      <c r="C133" s="136"/>
      <c r="D133" s="131"/>
      <c r="E133" s="126"/>
      <c r="F133" s="132"/>
      <c r="G133" s="133"/>
      <c r="H133" s="137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e">
        <f t="shared" si="13"/>
        <v>#N/A</v>
      </c>
    </row>
    <row r="134" spans="1:14" ht="45" customHeight="1">
      <c r="A134" s="135"/>
      <c r="B134" s="129"/>
      <c r="C134" s="136"/>
      <c r="D134" s="131"/>
      <c r="E134" s="126"/>
      <c r="F134" s="132"/>
      <c r="G134" s="133"/>
      <c r="H134" s="137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e">
        <f t="shared" si="13"/>
        <v>#N/A</v>
      </c>
    </row>
    <row r="135" spans="1:14" ht="45" customHeight="1">
      <c r="A135" s="135"/>
      <c r="B135" s="129"/>
      <c r="C135" s="136"/>
      <c r="D135" s="131"/>
      <c r="E135" s="126"/>
      <c r="F135" s="132"/>
      <c r="G135" s="133"/>
      <c r="H135" s="137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e">
        <f t="shared" si="13"/>
        <v>#N/A</v>
      </c>
    </row>
    <row r="136" spans="1:14" ht="45" customHeight="1">
      <c r="A136" s="135"/>
      <c r="B136" s="129"/>
      <c r="C136" s="136"/>
      <c r="D136" s="131"/>
      <c r="E136" s="126"/>
      <c r="F136" s="132"/>
      <c r="G136" s="133"/>
      <c r="H136" s="137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e">
        <f t="shared" si="13"/>
        <v>#N/A</v>
      </c>
    </row>
    <row r="137" spans="1:14" ht="45" customHeight="1">
      <c r="A137" s="135"/>
      <c r="B137" s="129"/>
      <c r="C137" s="136"/>
      <c r="D137" s="131"/>
      <c r="E137" s="126"/>
      <c r="F137" s="132"/>
      <c r="G137" s="133"/>
      <c r="H137" s="137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e">
        <f t="shared" si="13"/>
        <v>#N/A</v>
      </c>
    </row>
    <row r="138" spans="1:14" ht="45" customHeight="1">
      <c r="A138" s="135"/>
      <c r="B138" s="129"/>
      <c r="C138" s="136"/>
      <c r="D138" s="131"/>
      <c r="E138" s="126"/>
      <c r="F138" s="132"/>
      <c r="G138" s="133"/>
      <c r="H138" s="137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e">
        <f t="shared" si="13"/>
        <v>#N/A</v>
      </c>
    </row>
    <row r="139" spans="1:14" ht="45" customHeight="1">
      <c r="A139" s="135"/>
      <c r="B139" s="129"/>
      <c r="C139" s="136"/>
      <c r="D139" s="131"/>
      <c r="E139" s="126"/>
      <c r="F139" s="132"/>
      <c r="G139" s="133"/>
      <c r="H139" s="137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e">
        <f t="shared" si="13"/>
        <v>#N/A</v>
      </c>
    </row>
    <row r="140" spans="1:14" ht="45" customHeight="1">
      <c r="A140" s="135"/>
      <c r="B140" s="129"/>
      <c r="C140" s="136"/>
      <c r="D140" s="131"/>
      <c r="E140" s="126"/>
      <c r="F140" s="132"/>
      <c r="G140" s="133"/>
      <c r="H140" s="137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e">
        <f t="shared" si="13"/>
        <v>#N/A</v>
      </c>
    </row>
    <row r="141" spans="1:14" ht="45" customHeight="1">
      <c r="A141" s="135"/>
      <c r="B141" s="129"/>
      <c r="C141" s="136"/>
      <c r="D141" s="131"/>
      <c r="E141" s="126"/>
      <c r="F141" s="132"/>
      <c r="G141" s="133"/>
      <c r="H141" s="137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e">
        <f t="shared" si="13"/>
        <v>#N/A</v>
      </c>
    </row>
    <row r="142" spans="1:14" ht="45" customHeight="1">
      <c r="A142" s="135"/>
      <c r="B142" s="129"/>
      <c r="C142" s="136"/>
      <c r="D142" s="131"/>
      <c r="E142" s="126"/>
      <c r="F142" s="132"/>
      <c r="G142" s="133"/>
      <c r="H142" s="137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e">
        <f t="shared" si="13"/>
        <v>#N/A</v>
      </c>
    </row>
    <row r="143" spans="1:14" ht="45" customHeight="1">
      <c r="A143" s="135"/>
      <c r="B143" s="129"/>
      <c r="C143" s="136"/>
      <c r="D143" s="131"/>
      <c r="E143" s="126"/>
      <c r="F143" s="132"/>
      <c r="G143" s="133"/>
      <c r="H143" s="137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e">
        <f t="shared" si="13"/>
        <v>#N/A</v>
      </c>
    </row>
    <row r="144" spans="1:14" ht="45" customHeight="1">
      <c r="A144" s="135"/>
      <c r="B144" s="129"/>
      <c r="C144" s="136"/>
      <c r="D144" s="131"/>
      <c r="E144" s="126"/>
      <c r="F144" s="132"/>
      <c r="G144" s="133"/>
      <c r="H144" s="137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e">
        <f t="shared" si="13"/>
        <v>#N/A</v>
      </c>
    </row>
    <row r="145" spans="1:14" ht="45" customHeight="1">
      <c r="A145" s="135"/>
      <c r="B145" s="129"/>
      <c r="C145" s="136"/>
      <c r="D145" s="131"/>
      <c r="E145" s="126"/>
      <c r="F145" s="132"/>
      <c r="G145" s="133"/>
      <c r="H145" s="137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e">
        <f t="shared" si="13"/>
        <v>#N/A</v>
      </c>
    </row>
    <row r="146" spans="1:14" ht="45" customHeight="1">
      <c r="A146" s="135"/>
      <c r="B146" s="129"/>
      <c r="C146" s="136"/>
      <c r="D146" s="131"/>
      <c r="E146" s="126"/>
      <c r="F146" s="132"/>
      <c r="G146" s="133"/>
      <c r="H146" s="137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e">
        <f t="shared" si="13"/>
        <v>#N/A</v>
      </c>
    </row>
    <row r="147" spans="1:14" ht="45" customHeight="1">
      <c r="A147" s="135"/>
      <c r="B147" s="129"/>
      <c r="C147" s="136"/>
      <c r="D147" s="131"/>
      <c r="E147" s="126"/>
      <c r="F147" s="132"/>
      <c r="G147" s="133"/>
      <c r="H147" s="137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e">
        <f t="shared" si="13"/>
        <v>#N/A</v>
      </c>
    </row>
    <row r="148" spans="1:14" ht="45" customHeight="1">
      <c r="A148" s="135"/>
      <c r="B148" s="129"/>
      <c r="C148" s="136"/>
      <c r="D148" s="131"/>
      <c r="E148" s="126"/>
      <c r="F148" s="132"/>
      <c r="G148" s="133"/>
      <c r="H148" s="137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e">
        <f t="shared" si="13"/>
        <v>#N/A</v>
      </c>
    </row>
    <row r="149" spans="1:14" ht="45" customHeight="1">
      <c r="A149" s="135"/>
      <c r="B149" s="129"/>
      <c r="C149" s="136"/>
      <c r="D149" s="131"/>
      <c r="E149" s="126"/>
      <c r="F149" s="132"/>
      <c r="G149" s="133"/>
      <c r="H149" s="137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e">
        <f t="shared" si="13"/>
        <v>#N/A</v>
      </c>
    </row>
    <row r="150" spans="1:14" ht="45" customHeight="1">
      <c r="A150" s="135"/>
      <c r="B150" s="129"/>
      <c r="C150" s="136"/>
      <c r="D150" s="131"/>
      <c r="E150" s="126"/>
      <c r="F150" s="132"/>
      <c r="G150" s="133"/>
      <c r="H150" s="137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e">
        <f t="shared" si="13"/>
        <v>#N/A</v>
      </c>
    </row>
    <row r="151" spans="1:14" ht="45" customHeight="1">
      <c r="A151" s="135"/>
      <c r="B151" s="129"/>
      <c r="C151" s="136"/>
      <c r="D151" s="131"/>
      <c r="E151" s="126"/>
      <c r="F151" s="132"/>
      <c r="G151" s="133"/>
      <c r="H151" s="137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e">
        <f t="shared" si="13"/>
        <v>#N/A</v>
      </c>
    </row>
    <row r="152" spans="1:14" ht="45" customHeight="1">
      <c r="A152" s="135"/>
      <c r="B152" s="129"/>
      <c r="C152" s="136"/>
      <c r="D152" s="131"/>
      <c r="E152" s="126"/>
      <c r="F152" s="132"/>
      <c r="G152" s="133"/>
      <c r="H152" s="137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e">
        <f t="shared" si="13"/>
        <v>#N/A</v>
      </c>
    </row>
    <row r="153" spans="1:14" ht="45" customHeight="1">
      <c r="A153" s="135"/>
      <c r="B153" s="129"/>
      <c r="C153" s="136"/>
      <c r="D153" s="131"/>
      <c r="E153" s="126"/>
      <c r="F153" s="132"/>
      <c r="G153" s="133"/>
      <c r="H153" s="137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e">
        <f t="shared" si="13"/>
        <v>#N/A</v>
      </c>
    </row>
    <row r="154" spans="1:14" ht="45" customHeight="1">
      <c r="A154" s="135"/>
      <c r="B154" s="129"/>
      <c r="C154" s="136"/>
      <c r="D154" s="131"/>
      <c r="E154" s="126"/>
      <c r="F154" s="132"/>
      <c r="G154" s="133"/>
      <c r="H154" s="137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e">
        <f t="shared" si="13"/>
        <v>#N/A</v>
      </c>
    </row>
    <row r="155" spans="1:14" ht="45" customHeight="1">
      <c r="A155" s="135"/>
      <c r="B155" s="129"/>
      <c r="C155" s="136"/>
      <c r="D155" s="131"/>
      <c r="E155" s="126"/>
      <c r="F155" s="132"/>
      <c r="G155" s="133"/>
      <c r="H155" s="137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e">
        <f t="shared" si="13"/>
        <v>#N/A</v>
      </c>
    </row>
    <row r="156" spans="1:14" ht="45" customHeight="1">
      <c r="A156" s="135"/>
      <c r="B156" s="129"/>
      <c r="C156" s="136"/>
      <c r="D156" s="131"/>
      <c r="E156" s="126"/>
      <c r="F156" s="132"/>
      <c r="G156" s="133"/>
      <c r="H156" s="137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e">
        <f t="shared" si="13"/>
        <v>#N/A</v>
      </c>
    </row>
    <row r="157" spans="1:14" ht="45" customHeight="1">
      <c r="A157" s="135"/>
      <c r="B157" s="129"/>
      <c r="C157" s="136"/>
      <c r="D157" s="131"/>
      <c r="E157" s="126"/>
      <c r="F157" s="132"/>
      <c r="G157" s="133"/>
      <c r="H157" s="137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e">
        <f t="shared" si="13"/>
        <v>#N/A</v>
      </c>
    </row>
    <row r="158" spans="1:14" ht="45" customHeight="1">
      <c r="A158" s="135"/>
      <c r="B158" s="129"/>
      <c r="C158" s="136"/>
      <c r="D158" s="131"/>
      <c r="E158" s="126"/>
      <c r="F158" s="132"/>
      <c r="G158" s="133"/>
      <c r="H158" s="137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e">
        <f t="shared" si="13"/>
        <v>#N/A</v>
      </c>
    </row>
    <row r="159" spans="1:14" ht="45" customHeight="1">
      <c r="A159" s="135"/>
      <c r="B159" s="129"/>
      <c r="C159" s="136"/>
      <c r="D159" s="131"/>
      <c r="E159" s="126"/>
      <c r="F159" s="132"/>
      <c r="G159" s="133"/>
      <c r="H159" s="137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e">
        <f t="shared" si="13"/>
        <v>#N/A</v>
      </c>
    </row>
    <row r="160" spans="1:14" ht="45" customHeight="1">
      <c r="A160" s="135"/>
      <c r="B160" s="129"/>
      <c r="C160" s="136"/>
      <c r="D160" s="131"/>
      <c r="E160" s="126"/>
      <c r="F160" s="132"/>
      <c r="G160" s="133"/>
      <c r="H160" s="137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e">
        <f t="shared" si="13"/>
        <v>#N/A</v>
      </c>
    </row>
    <row r="161" spans="1:14" ht="45" customHeight="1">
      <c r="A161" s="135"/>
      <c r="B161" s="129"/>
      <c r="C161" s="136"/>
      <c r="D161" s="131"/>
      <c r="E161" s="126"/>
      <c r="F161" s="132"/>
      <c r="G161" s="133"/>
      <c r="H161" s="137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e">
        <f t="shared" si="13"/>
        <v>#N/A</v>
      </c>
    </row>
    <row r="162" spans="1:14" ht="45" customHeight="1">
      <c r="A162" s="135"/>
      <c r="B162" s="129"/>
      <c r="C162" s="136"/>
      <c r="D162" s="131"/>
      <c r="E162" s="126"/>
      <c r="F162" s="132"/>
      <c r="G162" s="133"/>
      <c r="H162" s="137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e">
        <f t="shared" si="13"/>
        <v>#N/A</v>
      </c>
    </row>
    <row r="163" spans="1:14" ht="45" customHeight="1">
      <c r="A163" s="135"/>
      <c r="B163" s="129"/>
      <c r="C163" s="136"/>
      <c r="D163" s="131"/>
      <c r="E163" s="126"/>
      <c r="F163" s="132"/>
      <c r="G163" s="133"/>
      <c r="H163" s="137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e">
        <f t="shared" si="13"/>
        <v>#N/A</v>
      </c>
    </row>
    <row r="164" spans="1:14" ht="45" customHeight="1">
      <c r="A164" s="135"/>
      <c r="B164" s="129"/>
      <c r="C164" s="136"/>
      <c r="D164" s="131"/>
      <c r="E164" s="126"/>
      <c r="F164" s="132"/>
      <c r="G164" s="133"/>
      <c r="H164" s="137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e">
        <f t="shared" si="13"/>
        <v>#N/A</v>
      </c>
    </row>
    <row r="165" spans="1:14" ht="45" customHeight="1">
      <c r="A165" s="135"/>
      <c r="B165" s="129"/>
      <c r="C165" s="136"/>
      <c r="D165" s="131"/>
      <c r="E165" s="126"/>
      <c r="F165" s="132"/>
      <c r="G165" s="133"/>
      <c r="H165" s="137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e">
        <f t="shared" si="13"/>
        <v>#N/A</v>
      </c>
    </row>
    <row r="166" spans="1:14" ht="45" customHeight="1">
      <c r="A166" s="135"/>
      <c r="B166" s="129"/>
      <c r="C166" s="136"/>
      <c r="D166" s="131"/>
      <c r="E166" s="126"/>
      <c r="F166" s="132"/>
      <c r="G166" s="133"/>
      <c r="H166" s="137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e">
        <f t="shared" si="13"/>
        <v>#N/A</v>
      </c>
    </row>
    <row r="167" spans="1:14" ht="45" customHeight="1">
      <c r="A167" s="135"/>
      <c r="B167" s="129"/>
      <c r="C167" s="136"/>
      <c r="D167" s="131"/>
      <c r="E167" s="126"/>
      <c r="F167" s="132"/>
      <c r="G167" s="133"/>
      <c r="H167" s="137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e">
        <f t="shared" si="13"/>
        <v>#N/A</v>
      </c>
    </row>
    <row r="168" spans="1:14" ht="45" customHeight="1">
      <c r="A168" s="135"/>
      <c r="B168" s="129"/>
      <c r="C168" s="136"/>
      <c r="D168" s="131"/>
      <c r="E168" s="126"/>
      <c r="F168" s="132"/>
      <c r="G168" s="133"/>
      <c r="H168" s="137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e">
        <f t="shared" si="13"/>
        <v>#N/A</v>
      </c>
    </row>
    <row r="169" spans="1:14" ht="45" customHeight="1">
      <c r="A169" s="135"/>
      <c r="B169" s="129"/>
      <c r="C169" s="136"/>
      <c r="D169" s="131"/>
      <c r="E169" s="126"/>
      <c r="F169" s="132"/>
      <c r="G169" s="133"/>
      <c r="H169" s="137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e">
        <f t="shared" si="13"/>
        <v>#N/A</v>
      </c>
    </row>
    <row r="170" spans="1:14" ht="45" customHeight="1">
      <c r="A170" s="135"/>
      <c r="B170" s="129"/>
      <c r="C170" s="136"/>
      <c r="D170" s="131"/>
      <c r="E170" s="126"/>
      <c r="F170" s="132"/>
      <c r="G170" s="133"/>
      <c r="H170" s="137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e">
        <f t="shared" si="13"/>
        <v>#N/A</v>
      </c>
    </row>
    <row r="171" spans="1:14" ht="45" customHeight="1">
      <c r="A171" s="135"/>
      <c r="B171" s="129"/>
      <c r="C171" s="136"/>
      <c r="D171" s="131"/>
      <c r="E171" s="126"/>
      <c r="F171" s="132"/>
      <c r="G171" s="133"/>
      <c r="H171" s="137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e">
        <f t="shared" si="13"/>
        <v>#N/A</v>
      </c>
    </row>
    <row r="172" spans="1:14" ht="45" customHeight="1">
      <c r="A172" s="135"/>
      <c r="B172" s="129"/>
      <c r="C172" s="136"/>
      <c r="D172" s="131"/>
      <c r="E172" s="126"/>
      <c r="F172" s="132"/>
      <c r="G172" s="133"/>
      <c r="H172" s="137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e">
        <f t="shared" si="13"/>
        <v>#N/A</v>
      </c>
    </row>
    <row r="173" spans="1:14" ht="45" customHeight="1">
      <c r="A173" s="135"/>
      <c r="B173" s="129"/>
      <c r="C173" s="136"/>
      <c r="D173" s="131"/>
      <c r="E173" s="126"/>
      <c r="F173" s="132"/>
      <c r="G173" s="133"/>
      <c r="H173" s="137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e">
        <f t="shared" si="13"/>
        <v>#N/A</v>
      </c>
    </row>
    <row r="174" spans="1:14" ht="45" customHeight="1">
      <c r="A174" s="135"/>
      <c r="B174" s="129"/>
      <c r="C174" s="136"/>
      <c r="D174" s="131"/>
      <c r="E174" s="126"/>
      <c r="F174" s="132"/>
      <c r="G174" s="133"/>
      <c r="H174" s="137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e">
        <f t="shared" si="13"/>
        <v>#N/A</v>
      </c>
    </row>
    <row r="175" spans="1:14" ht="45" customHeight="1">
      <c r="A175" s="135"/>
      <c r="B175" s="129"/>
      <c r="C175" s="136"/>
      <c r="D175" s="131"/>
      <c r="E175" s="126"/>
      <c r="F175" s="132"/>
      <c r="G175" s="133"/>
      <c r="H175" s="137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e">
        <f t="shared" si="13"/>
        <v>#N/A</v>
      </c>
    </row>
    <row r="176" spans="1:14" ht="45" customHeight="1">
      <c r="A176" s="135"/>
      <c r="B176" s="129"/>
      <c r="C176" s="136"/>
      <c r="D176" s="131"/>
      <c r="E176" s="126"/>
      <c r="F176" s="132"/>
      <c r="G176" s="133"/>
      <c r="H176" s="137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e">
        <f t="shared" si="13"/>
        <v>#N/A</v>
      </c>
    </row>
    <row r="177" spans="1:14" ht="45" customHeight="1">
      <c r="A177" s="135"/>
      <c r="B177" s="129"/>
      <c r="C177" s="136"/>
      <c r="D177" s="131"/>
      <c r="E177" s="126"/>
      <c r="F177" s="132"/>
      <c r="G177" s="133"/>
      <c r="H177" s="137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e">
        <f t="shared" si="13"/>
        <v>#N/A</v>
      </c>
    </row>
    <row r="178" spans="1:14" ht="45" customHeight="1">
      <c r="A178" s="135"/>
      <c r="B178" s="129"/>
      <c r="C178" s="136"/>
      <c r="D178" s="131"/>
      <c r="E178" s="126"/>
      <c r="F178" s="132"/>
      <c r="G178" s="133"/>
      <c r="H178" s="137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e">
        <f t="shared" si="13"/>
        <v>#N/A</v>
      </c>
    </row>
    <row r="179" spans="1:14" ht="45" customHeight="1">
      <c r="A179" s="135"/>
      <c r="B179" s="129"/>
      <c r="C179" s="136"/>
      <c r="D179" s="131"/>
      <c r="E179" s="126"/>
      <c r="F179" s="132"/>
      <c r="G179" s="133"/>
      <c r="H179" s="137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e">
        <f t="shared" si="13"/>
        <v>#N/A</v>
      </c>
    </row>
    <row r="180" spans="1:14" ht="45" customHeight="1">
      <c r="A180" s="135"/>
      <c r="B180" s="129"/>
      <c r="C180" s="136"/>
      <c r="D180" s="131"/>
      <c r="E180" s="126"/>
      <c r="F180" s="132"/>
      <c r="G180" s="133"/>
      <c r="H180" s="137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e">
        <f t="shared" si="13"/>
        <v>#N/A</v>
      </c>
    </row>
    <row r="181" spans="1:14" ht="45" customHeight="1">
      <c r="A181" s="135"/>
      <c r="B181" s="129"/>
      <c r="C181" s="136"/>
      <c r="D181" s="131"/>
      <c r="E181" s="126"/>
      <c r="F181" s="132"/>
      <c r="G181" s="133"/>
      <c r="H181" s="137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e">
        <f t="shared" si="13"/>
        <v>#N/A</v>
      </c>
    </row>
    <row r="182" spans="1:14" ht="45" customHeight="1">
      <c r="A182" s="135"/>
      <c r="B182" s="129"/>
      <c r="C182" s="136"/>
      <c r="D182" s="131"/>
      <c r="E182" s="126"/>
      <c r="F182" s="132"/>
      <c r="G182" s="133"/>
      <c r="H182" s="137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e">
        <f t="shared" si="13"/>
        <v>#N/A</v>
      </c>
    </row>
    <row r="183" spans="1:14" ht="45" customHeight="1">
      <c r="A183" s="135"/>
      <c r="B183" s="129"/>
      <c r="C183" s="136"/>
      <c r="D183" s="131"/>
      <c r="E183" s="126"/>
      <c r="F183" s="132"/>
      <c r="G183" s="133"/>
      <c r="H183" s="137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e">
        <f t="shared" si="13"/>
        <v>#N/A</v>
      </c>
    </row>
    <row r="184" spans="1:14" ht="45" customHeight="1">
      <c r="A184" s="135"/>
      <c r="B184" s="129"/>
      <c r="C184" s="136"/>
      <c r="D184" s="131"/>
      <c r="E184" s="126"/>
      <c r="F184" s="132"/>
      <c r="G184" s="133"/>
      <c r="H184" s="137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e">
        <f t="shared" si="13"/>
        <v>#N/A</v>
      </c>
    </row>
    <row r="185" spans="1:14" ht="45" customHeight="1">
      <c r="A185" s="135"/>
      <c r="B185" s="129"/>
      <c r="C185" s="136"/>
      <c r="D185" s="131"/>
      <c r="E185" s="126"/>
      <c r="F185" s="132"/>
      <c r="G185" s="133"/>
      <c r="H185" s="137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e">
        <f t="shared" si="13"/>
        <v>#N/A</v>
      </c>
    </row>
    <row r="186" spans="1:14" ht="45" customHeight="1">
      <c r="A186" s="135"/>
      <c r="B186" s="129"/>
      <c r="C186" s="136"/>
      <c r="D186" s="131"/>
      <c r="E186" s="126"/>
      <c r="F186" s="132"/>
      <c r="G186" s="133"/>
      <c r="H186" s="137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e">
        <f t="shared" si="13"/>
        <v>#N/A</v>
      </c>
    </row>
    <row r="187" spans="1:14" ht="45" customHeight="1">
      <c r="A187" s="135"/>
      <c r="B187" s="129"/>
      <c r="C187" s="136"/>
      <c r="D187" s="131"/>
      <c r="E187" s="126"/>
      <c r="F187" s="132"/>
      <c r="G187" s="133"/>
      <c r="H187" s="137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e">
        <f t="shared" si="13"/>
        <v>#N/A</v>
      </c>
    </row>
    <row r="188" spans="1:14" ht="45" customHeight="1">
      <c r="A188" s="135"/>
      <c r="B188" s="129"/>
      <c r="C188" s="136"/>
      <c r="D188" s="131"/>
      <c r="E188" s="126"/>
      <c r="F188" s="132"/>
      <c r="G188" s="133"/>
      <c r="H188" s="137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e">
        <f t="shared" si="13"/>
        <v>#N/A</v>
      </c>
    </row>
    <row r="189" spans="1:14" ht="45" customHeight="1">
      <c r="A189" s="135"/>
      <c r="B189" s="129"/>
      <c r="C189" s="136"/>
      <c r="D189" s="131"/>
      <c r="E189" s="126"/>
      <c r="F189" s="132"/>
      <c r="G189" s="133"/>
      <c r="H189" s="137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e">
        <f t="shared" si="13"/>
        <v>#N/A</v>
      </c>
    </row>
    <row r="190" spans="1:14" ht="45" customHeight="1">
      <c r="A190" s="135"/>
      <c r="B190" s="129"/>
      <c r="C190" s="136"/>
      <c r="D190" s="131"/>
      <c r="E190" s="126"/>
      <c r="F190" s="132"/>
      <c r="G190" s="133"/>
      <c r="H190" s="137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e">
        <f t="shared" si="13"/>
        <v>#N/A</v>
      </c>
    </row>
    <row r="191" spans="1:14" ht="45" customHeight="1">
      <c r="A191" s="135"/>
      <c r="B191" s="129"/>
      <c r="C191" s="136"/>
      <c r="D191" s="131"/>
      <c r="E191" s="126"/>
      <c r="F191" s="132"/>
      <c r="G191" s="133"/>
      <c r="H191" s="137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e">
        <f t="shared" si="13"/>
        <v>#N/A</v>
      </c>
    </row>
    <row r="192" spans="1:14" ht="45" customHeight="1">
      <c r="A192" s="135"/>
      <c r="B192" s="129"/>
      <c r="C192" s="136"/>
      <c r="D192" s="131"/>
      <c r="E192" s="126"/>
      <c r="F192" s="132"/>
      <c r="G192" s="133"/>
      <c r="H192" s="137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e">
        <f t="shared" si="13"/>
        <v>#N/A</v>
      </c>
    </row>
    <row r="193" spans="1:16" ht="45" customHeight="1">
      <c r="A193" s="135"/>
      <c r="B193" s="129"/>
      <c r="C193" s="136"/>
      <c r="D193" s="131"/>
      <c r="E193" s="126"/>
      <c r="F193" s="132"/>
      <c r="G193" s="133"/>
      <c r="H193" s="137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e">
        <f t="shared" si="13"/>
        <v>#N/A</v>
      </c>
    </row>
    <row r="194" spans="1:16" ht="45" customHeight="1">
      <c r="A194" s="135"/>
      <c r="B194" s="129"/>
      <c r="C194" s="136"/>
      <c r="D194" s="131"/>
      <c r="E194" s="126"/>
      <c r="F194" s="132"/>
      <c r="G194" s="133"/>
      <c r="H194" s="137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e">
        <f t="shared" si="13"/>
        <v>#N/A</v>
      </c>
    </row>
    <row r="195" spans="1:16" ht="45" customHeight="1">
      <c r="A195" s="135"/>
      <c r="B195" s="129"/>
      <c r="C195" s="136"/>
      <c r="D195" s="131"/>
      <c r="E195" s="126"/>
      <c r="F195" s="132"/>
      <c r="G195" s="133"/>
      <c r="H195" s="137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e">
        <f t="shared" si="13"/>
        <v>#N/A</v>
      </c>
    </row>
    <row r="196" spans="1:16" ht="45" customHeight="1">
      <c r="A196" s="135"/>
      <c r="B196" s="129"/>
      <c r="C196" s="136"/>
      <c r="D196" s="131"/>
      <c r="E196" s="126"/>
      <c r="F196" s="132"/>
      <c r="G196" s="133"/>
      <c r="H196" s="137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e">
        <f t="shared" ref="N196:N201" si="18">AND($M$1="Flat Rate",M196="Staff_Costs")</f>
        <v>#N/A</v>
      </c>
    </row>
    <row r="197" spans="1:16" ht="45" customHeight="1">
      <c r="A197" s="135"/>
      <c r="B197" s="129"/>
      <c r="C197" s="136"/>
      <c r="D197" s="131"/>
      <c r="E197" s="126"/>
      <c r="F197" s="132"/>
      <c r="G197" s="133"/>
      <c r="H197" s="137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e">
        <f t="shared" si="18"/>
        <v>#N/A</v>
      </c>
    </row>
    <row r="198" spans="1:16" ht="47.25" customHeight="1">
      <c r="A198" s="135"/>
      <c r="B198" s="129"/>
      <c r="C198" s="136"/>
      <c r="D198" s="131"/>
      <c r="E198" s="126"/>
      <c r="F198" s="132"/>
      <c r="G198" s="133"/>
      <c r="H198" s="137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e">
        <f t="shared" si="18"/>
        <v>#N/A</v>
      </c>
    </row>
    <row r="199" spans="1:16" ht="47.25" customHeight="1">
      <c r="A199" s="135"/>
      <c r="B199" s="129"/>
      <c r="C199" s="136"/>
      <c r="D199" s="131"/>
      <c r="E199" s="126"/>
      <c r="F199" s="132"/>
      <c r="G199" s="133"/>
      <c r="H199" s="137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e">
        <f t="shared" si="18"/>
        <v>#N/A</v>
      </c>
    </row>
    <row r="200" spans="1:16" ht="47.25" customHeight="1">
      <c r="A200" s="135"/>
      <c r="B200" s="129"/>
      <c r="C200" s="136"/>
      <c r="D200" s="131"/>
      <c r="E200" s="126"/>
      <c r="F200" s="132"/>
      <c r="G200" s="133"/>
      <c r="H200" s="137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e">
        <f t="shared" si="18"/>
        <v>#N/A</v>
      </c>
    </row>
    <row r="201" spans="1:16" ht="47.25" customHeight="1">
      <c r="A201" s="135"/>
      <c r="B201" s="129"/>
      <c r="C201" s="136"/>
      <c r="D201" s="131"/>
      <c r="E201" s="126"/>
      <c r="F201" s="132"/>
      <c r="G201" s="133"/>
      <c r="H201" s="137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e">
        <f t="shared" si="18"/>
        <v>#N/A</v>
      </c>
    </row>
    <row r="202" spans="1:16" ht="18.75">
      <c r="L202" t="s">
        <v>524</v>
      </c>
      <c r="M202" s="66" t="str">
        <f>IF(I1=0,"-",IF(M203=0,"No Staff Costs",IF(P204=TRUE,"ERROR",IF(N204=TRUE,"Flat Rate", IF(N204=FALSE,"Real Costs", )))))</f>
        <v>-</v>
      </c>
      <c r="N202" t="s">
        <v>521</v>
      </c>
      <c r="O202" t="s">
        <v>522</v>
      </c>
      <c r="P202" t="s">
        <v>523</v>
      </c>
    </row>
    <row r="203" spans="1:16">
      <c r="L203" t="s">
        <v>526</v>
      </c>
      <c r="M203">
        <f>COUNTIF(L3:L201,"Staff*")</f>
        <v>0</v>
      </c>
    </row>
    <row r="204" spans="1:16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>
      <c r="L205" t="s">
        <v>518</v>
      </c>
      <c r="M205">
        <f>COUNTIF(L3:L201,"Staff Costs-Real*")</f>
        <v>0</v>
      </c>
    </row>
    <row r="206" spans="1:16" ht="18.75">
      <c r="L206" t="s">
        <v>525</v>
      </c>
      <c r="M206" s="66" t="str">
        <f>IF(I1=0,"-",IF(M207=0,"No O&amp;A Costs",IF(P208=TRUE,"ERROR",IF(N208=TRUE,"Flat Rate", IF(N208=FALSE,"Real Costs", )))))</f>
        <v>-</v>
      </c>
    </row>
    <row r="207" spans="1:16">
      <c r="L207" t="s">
        <v>527</v>
      </c>
      <c r="M207">
        <f>COUNTIF(L3:L201,"Office*")</f>
        <v>0</v>
      </c>
    </row>
    <row r="208" spans="1:16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>
      <c r="L209" t="s">
        <v>520</v>
      </c>
      <c r="M209">
        <f>COUNTIF(L3:L201,"Office and Administration-Real*")</f>
        <v>0</v>
      </c>
    </row>
  </sheetData>
  <sheetProtection password="C613" sheet="1" objects="1" scenarios="1" autoFilter="0"/>
  <autoFilter ref="A2:I2"/>
  <dataConsolidate/>
  <mergeCells count="1">
    <mergeCell ref="G1:H1"/>
  </mergeCells>
  <conditionalFormatting sqref="E1:F1">
    <cfRule type="cellIs" dxfId="43" priority="12" stopIfTrue="1" operator="equal">
      <formula>0</formula>
    </cfRule>
  </conditionalFormatting>
  <conditionalFormatting sqref="I3:I201">
    <cfRule type="expression" dxfId="42" priority="11" stopIfTrue="1">
      <formula>AND(C3="",NOT(H3=""))</formula>
    </cfRule>
  </conditionalFormatting>
  <conditionalFormatting sqref="I3:I201">
    <cfRule type="expression" dxfId="41" priority="10" stopIfTrue="1">
      <formula>AND(B3="",NOT(H3=""))</formula>
    </cfRule>
  </conditionalFormatting>
  <conditionalFormatting sqref="F3">
    <cfRule type="expression" dxfId="40" priority="9" stopIfTrue="1">
      <formula>D3="Flat Rate"</formula>
    </cfRule>
  </conditionalFormatting>
  <conditionalFormatting sqref="F4:F201">
    <cfRule type="expression" dxfId="39" priority="8" stopIfTrue="1">
      <formula>D4="Flat Rate"</formula>
    </cfRule>
  </conditionalFormatting>
  <conditionalFormatting sqref="G3:G201">
    <cfRule type="expression" dxfId="38" priority="1" stopIfTrue="1">
      <formula>D3="Flat Rate"</formula>
    </cfRule>
    <cfRule type="expression" dxfId="37" priority="2" stopIfTrue="1">
      <formula>C3="Staff Costs"</formula>
    </cfRule>
    <cfRule type="expression" dxfId="36" priority="3" stopIfTrue="1">
      <formula>C3="Travel and Accommodation"</formula>
    </cfRule>
  </conditionalFormatting>
  <dataValidations count="5"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sqref="C3:C201">
      <formula1>Budgetline</formula1>
    </dataValidation>
    <dataValidation type="list" allowBlank="1" showInputMessage="1" showErrorMessage="1" sqref="A3:A201">
      <formula1>WPs</formula1>
    </dataValidation>
    <dataValidation type="list" allowBlank="1" showInputMessage="1" showErrorMessage="1" sqref="B3:B201">
      <formula1>IF(A3="WP1", P8WP1, IF(A3="WP2",P8WP2,IF(A3="WP3",P8WP3,IF(A3="WP4",P8WP4,IF(A3="WP5",P8WP5,IF(A3="WP6",P8WP6,0))))))</formula1>
    </dataValidation>
    <dataValidation type="list" allowBlank="1" showInputMessage="1" showErrorMessage="1" errorTitle="Change Budget line orType" sqref="D3:D201">
      <formula1>IF(N3=TRUE,Flat,INDIRECT(M3))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4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104</vt:i4>
      </vt:variant>
    </vt:vector>
  </HeadingPairs>
  <TitlesOfParts>
    <vt:vector size="119" baseType="lpstr">
      <vt:lpstr>Cover page</vt:lpstr>
      <vt:lpstr>LB (PB1)</vt:lpstr>
      <vt:lpstr>PB2</vt:lpstr>
      <vt:lpstr>PB3</vt:lpstr>
      <vt:lpstr>PB4</vt:lpstr>
      <vt:lpstr>PB5</vt:lpstr>
      <vt:lpstr>PB6</vt:lpstr>
      <vt:lpstr>PB7</vt:lpstr>
      <vt:lpstr>PB8</vt:lpstr>
      <vt:lpstr>PB9</vt:lpstr>
      <vt:lpstr>PB10</vt:lpstr>
      <vt:lpstr>AF-Tables</vt:lpstr>
      <vt:lpstr>Project Overview</vt:lpstr>
      <vt:lpstr>Budget Check</vt:lpstr>
      <vt:lpstr>Ranges</vt:lpstr>
      <vt:lpstr>Budgetline</vt:lpstr>
      <vt:lpstr>CallB1</vt:lpstr>
      <vt:lpstr>CallB2</vt:lpstr>
      <vt:lpstr>Country</vt:lpstr>
      <vt:lpstr>Equipment</vt:lpstr>
      <vt:lpstr>Expertise_Services</vt:lpstr>
      <vt:lpstr>Flat</vt:lpstr>
      <vt:lpstr>Infrastructure</vt:lpstr>
      <vt:lpstr>Inv.Priority</vt:lpstr>
      <vt:lpstr>Office_Administration</vt:lpstr>
      <vt:lpstr>P10WP1</vt:lpstr>
      <vt:lpstr>P10WP2</vt:lpstr>
      <vt:lpstr>P10WP3</vt:lpstr>
      <vt:lpstr>P10WP4</vt:lpstr>
      <vt:lpstr>P10WP5</vt:lpstr>
      <vt:lpstr>P10WP6</vt:lpstr>
      <vt:lpstr>P1WP1</vt:lpstr>
      <vt:lpstr>P1WP2</vt:lpstr>
      <vt:lpstr>P1WP3</vt:lpstr>
      <vt:lpstr>P1WP4</vt:lpstr>
      <vt:lpstr>P1WP5</vt:lpstr>
      <vt:lpstr>P1WP6</vt:lpstr>
      <vt:lpstr>P2WP1</vt:lpstr>
      <vt:lpstr>P2WP2</vt:lpstr>
      <vt:lpstr>P2WP3</vt:lpstr>
      <vt:lpstr>P2WP4</vt:lpstr>
      <vt:lpstr>P2WP5</vt:lpstr>
      <vt:lpstr>P2WP6</vt:lpstr>
      <vt:lpstr>P3WP1</vt:lpstr>
      <vt:lpstr>P3WP2</vt:lpstr>
      <vt:lpstr>P3WP3</vt:lpstr>
      <vt:lpstr>P3WP4</vt:lpstr>
      <vt:lpstr>P3WP5</vt:lpstr>
      <vt:lpstr>P3WP6</vt:lpstr>
      <vt:lpstr>P4WP1</vt:lpstr>
      <vt:lpstr>P4WP2</vt:lpstr>
      <vt:lpstr>P4WP3</vt:lpstr>
      <vt:lpstr>P4WP4</vt:lpstr>
      <vt:lpstr>P4WP5</vt:lpstr>
      <vt:lpstr>P4WP6</vt:lpstr>
      <vt:lpstr>P5WP1</vt:lpstr>
      <vt:lpstr>P5WP2</vt:lpstr>
      <vt:lpstr>P5WP3</vt:lpstr>
      <vt:lpstr>P5WP4</vt:lpstr>
      <vt:lpstr>P5WP5</vt:lpstr>
      <vt:lpstr>P5WP6</vt:lpstr>
      <vt:lpstr>P6WP1</vt:lpstr>
      <vt:lpstr>P6WP2</vt:lpstr>
      <vt:lpstr>P6WP3</vt:lpstr>
      <vt:lpstr>P6WP4</vt:lpstr>
      <vt:lpstr>P6WP5</vt:lpstr>
      <vt:lpstr>P6WP6</vt:lpstr>
      <vt:lpstr>P7WP1</vt:lpstr>
      <vt:lpstr>P7WP2</vt:lpstr>
      <vt:lpstr>P7WP3</vt:lpstr>
      <vt:lpstr>P7WP4</vt:lpstr>
      <vt:lpstr>P7WP5</vt:lpstr>
      <vt:lpstr>P7WP6</vt:lpstr>
      <vt:lpstr>P8WP1</vt:lpstr>
      <vt:lpstr>P8WP2</vt:lpstr>
      <vt:lpstr>P8WP3</vt:lpstr>
      <vt:lpstr>P8WP4</vt:lpstr>
      <vt:lpstr>P8WP5</vt:lpstr>
      <vt:lpstr>P8WP6</vt:lpstr>
      <vt:lpstr>P9WP1</vt:lpstr>
      <vt:lpstr>P9WP2</vt:lpstr>
      <vt:lpstr>P9WP3</vt:lpstr>
      <vt:lpstr>P9WP4</vt:lpstr>
      <vt:lpstr>P9WP5</vt:lpstr>
      <vt:lpstr>P9WP6</vt:lpstr>
      <vt:lpstr>Partner</vt:lpstr>
      <vt:lpstr>Pr.Axis</vt:lpstr>
      <vt:lpstr>Pr.Axis1</vt:lpstr>
      <vt:lpstr>Pr.Axis2</vt:lpstr>
      <vt:lpstr>Pr.Axis2a</vt:lpstr>
      <vt:lpstr>Pr.Axis3</vt:lpstr>
      <vt:lpstr>Pr.Axis4</vt:lpstr>
      <vt:lpstr>'Budget Check'!Print_Area</vt:lpstr>
      <vt:lpstr>'Cover page'!Print_Area</vt:lpstr>
      <vt:lpstr>'LB (PB1)'!Print_Area</vt:lpstr>
      <vt:lpstr>'PB10'!Print_Area</vt:lpstr>
      <vt:lpstr>'PB2'!Print_Area</vt:lpstr>
      <vt:lpstr>'PB3'!Print_Area</vt:lpstr>
      <vt:lpstr>'PB4'!Print_Area</vt:lpstr>
      <vt:lpstr>'PB5'!Print_Area</vt:lpstr>
      <vt:lpstr>'PB6'!Print_Area</vt:lpstr>
      <vt:lpstr>'PB7'!Print_Area</vt:lpstr>
      <vt:lpstr>'PB8'!Print_Area</vt:lpstr>
      <vt:lpstr>'PB9'!Print_Area</vt:lpstr>
      <vt:lpstr>'Project Overview'!Print_Area</vt:lpstr>
      <vt:lpstr>'LB (PB1)'!Print_Titles</vt:lpstr>
      <vt:lpstr>'PB10'!Print_Titles</vt:lpstr>
      <vt:lpstr>'PB2'!Print_Titles</vt:lpstr>
      <vt:lpstr>'PB3'!Print_Titles</vt:lpstr>
      <vt:lpstr>'PB4'!Print_Titles</vt:lpstr>
      <vt:lpstr>'PB5'!Print_Titles</vt:lpstr>
      <vt:lpstr>'PB6'!Print_Titles</vt:lpstr>
      <vt:lpstr>'PB7'!Print_Titles</vt:lpstr>
      <vt:lpstr>'PB8'!Print_Titles</vt:lpstr>
      <vt:lpstr>'PB9'!Print_Titles</vt:lpstr>
      <vt:lpstr>RealCosts</vt:lpstr>
      <vt:lpstr>Staff_Costs</vt:lpstr>
      <vt:lpstr>Travel_Accommodation</vt:lpstr>
      <vt:lpstr>WPs</vt:lpstr>
    </vt:vector>
  </TitlesOfParts>
  <Company>MOD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Georgios Charalampous</dc:creator>
  <cp:lastModifiedBy>mvasdeki</cp:lastModifiedBy>
  <cp:lastPrinted>2016-05-25T12:26:08Z</cp:lastPrinted>
  <dcterms:created xsi:type="dcterms:W3CDTF">2015-08-04T12:07:20Z</dcterms:created>
  <dcterms:modified xsi:type="dcterms:W3CDTF">2016-08-26T11:14:30Z</dcterms:modified>
</cp:coreProperties>
</file>